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2" activeTab="6"/>
  </bookViews>
  <sheets>
    <sheet name="Двоеборье проф." sheetId="1" r:id="rId1"/>
    <sheet name="Люб. присед б.э." sheetId="2" r:id="rId2"/>
    <sheet name="ПРО тяга б.э." sheetId="3" r:id="rId3"/>
    <sheet name="Люб. тяга б.э." sheetId="4" r:id="rId4"/>
    <sheet name="ПРО жим софт мн.петельная" sheetId="5" r:id="rId5"/>
    <sheet name="ПРО жим б.э." sheetId="6" r:id="rId6"/>
    <sheet name="Люб. жим б.э." sheetId="7" r:id="rId7"/>
    <sheet name="ПРО ПЛ. б.э." sheetId="8" r:id="rId8"/>
    <sheet name="Люб. ПЛ. б.э." sheetId="9" r:id="rId9"/>
    <sheet name="ПРО ПЛ. софт экип. стандарт" sheetId="10" r:id="rId10"/>
    <sheet name="Любители В.Ж. многоповторный" sheetId="11" r:id="rId11"/>
    <sheet name="Проф. становая тяга" sheetId="12" r:id="rId12"/>
    <sheet name="Проф. народный жим 1 вес" sheetId="13" r:id="rId13"/>
    <sheet name="Люб. народный жим 1_2 вес" sheetId="14" r:id="rId14"/>
    <sheet name="Пауэрспорт Профессионалы" sheetId="15" r:id="rId15"/>
    <sheet name="Бицепс Профессионалы" sheetId="16" r:id="rId16"/>
    <sheet name="Бицепс Любители" sheetId="17" r:id="rId17"/>
    <sheet name="Жим стоя Профессионалы" sheetId="18" r:id="rId18"/>
    <sheet name="Русская тяга люб. 200 кг." sheetId="19" r:id="rId19"/>
    <sheet name="Русская тяга проф. 150 кг." sheetId="20" r:id="rId20"/>
    <sheet name="Русская тяга люб. 150 кг." sheetId="21" r:id="rId21"/>
    <sheet name="Русская тяга люб. 100 кг." sheetId="22" r:id="rId22"/>
    <sheet name="Русская тяга люб. 75 кг." sheetId="23" r:id="rId23"/>
    <sheet name="Русская тяга люб. 55 кг." sheetId="24" r:id="rId24"/>
    <sheet name="РБ Проф 50 кг." sheetId="25" r:id="rId25"/>
    <sheet name="РБ Проф 35 кг." sheetId="26" r:id="rId26"/>
    <sheet name="РЖ Проф 125 кг." sheetId="27" r:id="rId27"/>
    <sheet name="РЖ Проф 55 кг." sheetId="28" r:id="rId28"/>
  </sheets>
  <definedNames/>
  <calcPr fullCalcOnLoad="1" refMode="R1C1"/>
</workbook>
</file>

<file path=xl/sharedStrings.xml><?xml version="1.0" encoding="utf-8"?>
<sst xmlns="http://schemas.openxmlformats.org/spreadsheetml/2006/main" count="1690" uniqueCount="381">
  <si>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</si>
  <si>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</si>
  <si>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</si>
  <si>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</si>
  <si>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</si>
  <si>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</si>
  <si>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</si>
  <si>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</si>
  <si>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</si>
  <si>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</si>
  <si>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</si>
  <si>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Чемпионат России
ПРО пауэрлифтинг софт экипировка стандарт
Краснодар/Краснодарский край 23 - 24 июля 2022 г.</t>
  </si>
  <si>
    <t>Shv/Mel</t>
  </si>
  <si>
    <t>Приседание</t>
  </si>
  <si>
    <t>Жим лёжа</t>
  </si>
  <si>
    <t>Становая тяга</t>
  </si>
  <si>
    <t>ВЕСОВАЯ КАТЕГОРИЯ   110</t>
  </si>
  <si>
    <t>Некрушец Роман</t>
  </si>
  <si>
    <t>1. Некрушец Роман</t>
  </si>
  <si>
    <t>Открытая (15.05.1993)/29</t>
  </si>
  <si>
    <t>103,60</t>
  </si>
  <si>
    <t xml:space="preserve">Ростов </t>
  </si>
  <si>
    <t xml:space="preserve">Ростов-на-Дону/Ростовская область </t>
  </si>
  <si>
    <t>250,0</t>
  </si>
  <si>
    <t>265,0</t>
  </si>
  <si>
    <t>280,0</t>
  </si>
  <si>
    <t>160,0</t>
  </si>
  <si>
    <t>170,0</t>
  </si>
  <si>
    <t>180,0</t>
  </si>
  <si>
    <t>260,0</t>
  </si>
  <si>
    <t>275,0</t>
  </si>
  <si>
    <t>290,0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</si>
  <si>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</si>
  <si>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</si>
  <si>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</si>
  <si>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</si>
  <si>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</si>
  <si>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</si>
  <si>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</si>
  <si>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</si>
  <si>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</si>
  <si>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</si>
  <si>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</si>
  <si>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</si>
  <si>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</si>
  <si>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</si>
  <si>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110</t>
  </si>
  <si>
    <t>Чемпионат России
Любители пауэрлифтинг без экипировки
Краснодар/Краснодарский край 23 - 24 июля 2022 г.</t>
  </si>
  <si>
    <t>ВЕСОВАЯ КАТЕГОРИЯ   52</t>
  </si>
  <si>
    <t>Вьюхина Надежда</t>
  </si>
  <si>
    <t>1. Вьюхина Надежда</t>
  </si>
  <si>
    <t>Открытая (17.03.1985)/37</t>
  </si>
  <si>
    <t>51,30</t>
  </si>
  <si>
    <t xml:space="preserve">FTZ </t>
  </si>
  <si>
    <t xml:space="preserve">Краснодар/Краснодарский край </t>
  </si>
  <si>
    <t>85,0</t>
  </si>
  <si>
    <t>90,0</t>
  </si>
  <si>
    <t>95,0</t>
  </si>
  <si>
    <t>55,0</t>
  </si>
  <si>
    <t>60,0</t>
  </si>
  <si>
    <t>110,0</t>
  </si>
  <si>
    <t>120,0</t>
  </si>
  <si>
    <t>125,0</t>
  </si>
  <si>
    <t xml:space="preserve">. </t>
  </si>
  <si>
    <t>ВЕСОВАЯ КАТЕГОРИЯ   56</t>
  </si>
  <si>
    <t>Туровая Марина</t>
  </si>
  <si>
    <t>1. Туровая Марина</t>
  </si>
  <si>
    <t>Девушки 18 - 19 (23.12.2003)/18</t>
  </si>
  <si>
    <t>55,40</t>
  </si>
  <si>
    <t xml:space="preserve">лично </t>
  </si>
  <si>
    <t xml:space="preserve">Новороссийск/Краснодарский край </t>
  </si>
  <si>
    <t>70,0</t>
  </si>
  <si>
    <t>75,0</t>
  </si>
  <si>
    <t>82,5</t>
  </si>
  <si>
    <t>45,0</t>
  </si>
  <si>
    <t>50,0</t>
  </si>
  <si>
    <t>52,5</t>
  </si>
  <si>
    <t>92,5</t>
  </si>
  <si>
    <t xml:space="preserve">Шорохов Н.В. </t>
  </si>
  <si>
    <t>Чан Нина</t>
  </si>
  <si>
    <t>1. Чан Нина</t>
  </si>
  <si>
    <t>Открытая (20.09.1998)/23</t>
  </si>
  <si>
    <t>54,30</t>
  </si>
  <si>
    <t>62,5</t>
  </si>
  <si>
    <t>ВЕСОВАЯ КАТЕГОРИЯ   67.5</t>
  </si>
  <si>
    <t>Кушнарева Алина</t>
  </si>
  <si>
    <t>1. Кушнарева Алина</t>
  </si>
  <si>
    <t>Юниорки 20 - 23 (26.06.2000)/22</t>
  </si>
  <si>
    <t>66,80</t>
  </si>
  <si>
    <t xml:space="preserve">Легенда Джим </t>
  </si>
  <si>
    <t>100,0</t>
  </si>
  <si>
    <t>105,0</t>
  </si>
  <si>
    <t>107,5</t>
  </si>
  <si>
    <t>30,0</t>
  </si>
  <si>
    <t>40,0</t>
  </si>
  <si>
    <t>80,0</t>
  </si>
  <si>
    <t xml:space="preserve">Иванов Н.А. </t>
  </si>
  <si>
    <t>Жилинков Александр</t>
  </si>
  <si>
    <t>1. Жилинков Александр</t>
  </si>
  <si>
    <t>Юноши 16 - 17 (23.01.2006)/16</t>
  </si>
  <si>
    <t>66,60</t>
  </si>
  <si>
    <t xml:space="preserve">Кропоткин/Краснодарский край </t>
  </si>
  <si>
    <t>115,0</t>
  </si>
  <si>
    <t>130,0</t>
  </si>
  <si>
    <t>97,5</t>
  </si>
  <si>
    <t>102,5</t>
  </si>
  <si>
    <t>142,5</t>
  </si>
  <si>
    <t>152,5</t>
  </si>
  <si>
    <t>162,5</t>
  </si>
  <si>
    <t xml:space="preserve">Женщины </t>
  </si>
  <si>
    <t xml:space="preserve">Девушки </t>
  </si>
  <si>
    <t xml:space="preserve">Юноши 18 - 19 </t>
  </si>
  <si>
    <t>56</t>
  </si>
  <si>
    <t xml:space="preserve">Юниорки </t>
  </si>
  <si>
    <t xml:space="preserve">Юниоры 20 - 23 </t>
  </si>
  <si>
    <t>67.5</t>
  </si>
  <si>
    <t>52</t>
  </si>
  <si>
    <t xml:space="preserve">Юноши </t>
  </si>
  <si>
    <t xml:space="preserve">Юноши 16 - 17 </t>
  </si>
  <si>
    <t>Чемпионат России
ПРО пауэрлифтинг без экипировки
Краснодар/Краснодарский край 23 - 24 июля 2022 г.</t>
  </si>
  <si>
    <t>ВЕСОВАЯ КАТЕГОРИЯ   90</t>
  </si>
  <si>
    <t>Аксёненко Ростислав</t>
  </si>
  <si>
    <t>1. Аксёненко Ростислав</t>
  </si>
  <si>
    <t>Открытая (23.08.1990)/31</t>
  </si>
  <si>
    <t>86,50</t>
  </si>
  <si>
    <t>135,0</t>
  </si>
  <si>
    <t>145,0</t>
  </si>
  <si>
    <t>112,5</t>
  </si>
  <si>
    <t>165,0</t>
  </si>
  <si>
    <t>175,0</t>
  </si>
  <si>
    <t>185,0</t>
  </si>
  <si>
    <t>Соколов Владимир</t>
  </si>
  <si>
    <t>1. Соколов Владимир</t>
  </si>
  <si>
    <t>Мастера 45 - 49 (11.10.1974)/47</t>
  </si>
  <si>
    <t>88,30</t>
  </si>
  <si>
    <t xml:space="preserve">Ставропольстрой опторг </t>
  </si>
  <si>
    <t xml:space="preserve">Ставрополь/Ставропольский край </t>
  </si>
  <si>
    <t>190,0</t>
  </si>
  <si>
    <t>140,0</t>
  </si>
  <si>
    <t>150,0</t>
  </si>
  <si>
    <t>210,0</t>
  </si>
  <si>
    <t>220,0</t>
  </si>
  <si>
    <t>242,5</t>
  </si>
  <si>
    <t>90</t>
  </si>
  <si>
    <t xml:space="preserve">Мастера </t>
  </si>
  <si>
    <t xml:space="preserve">Мастера 45 - 49 </t>
  </si>
  <si>
    <t>Чемпионат России
Любители жим лежа без экипировки
Краснодар/Краснодарский край 23 - 24 июля 2022 г.</t>
  </si>
  <si>
    <t>ВЕСОВАЯ КАТЕГОРИЯ   75</t>
  </si>
  <si>
    <t>Бугаев Алексей</t>
  </si>
  <si>
    <t>1. Бугаев Алексей</t>
  </si>
  <si>
    <t>Юниоры 20 - 23 (16.04.1999)/23</t>
  </si>
  <si>
    <t>73,80</t>
  </si>
  <si>
    <t>Артемьев Александр</t>
  </si>
  <si>
    <t>1. Артемьев Александр</t>
  </si>
  <si>
    <t>Открытая (23.01.1998)/24</t>
  </si>
  <si>
    <t>74,60</t>
  </si>
  <si>
    <t>Ващекин Владислав</t>
  </si>
  <si>
    <t>2. Ващекин Владислав</t>
  </si>
  <si>
    <t>Открытая (10.08.2000)/21</t>
  </si>
  <si>
    <t>73,90</t>
  </si>
  <si>
    <t xml:space="preserve">Динамит ПРО </t>
  </si>
  <si>
    <t xml:space="preserve">Майкоп/Адыгея </t>
  </si>
  <si>
    <t xml:space="preserve">Никулкин Р.Н. </t>
  </si>
  <si>
    <t>Васильев Илья</t>
  </si>
  <si>
    <t>3. Васильев Илья</t>
  </si>
  <si>
    <t>Открытая (28.11.1998)/23</t>
  </si>
  <si>
    <t>70,90</t>
  </si>
  <si>
    <t>ВЕСОВАЯ КАТЕГОРИЯ   82.5</t>
  </si>
  <si>
    <t>Третьяков Сергей</t>
  </si>
  <si>
    <t>1. Третьяков Сергей</t>
  </si>
  <si>
    <t>Мастера 40 - 44 (21.09.1977)/44</t>
  </si>
  <si>
    <t>80,20</t>
  </si>
  <si>
    <t>117,5</t>
  </si>
  <si>
    <t xml:space="preserve">Протосеня Юрий </t>
  </si>
  <si>
    <t>Кариентиди Георгий</t>
  </si>
  <si>
    <t>1. Кариентиди Георгий</t>
  </si>
  <si>
    <t>Открытая (10.04.1997)/25</t>
  </si>
  <si>
    <t>90,00</t>
  </si>
  <si>
    <t xml:space="preserve">Спортлайф </t>
  </si>
  <si>
    <t>155,0</t>
  </si>
  <si>
    <t xml:space="preserve">Космынин В.П. </t>
  </si>
  <si>
    <t>ВЕСОВАЯ КАТЕГОРИЯ   100</t>
  </si>
  <si>
    <t>Куданов Иван</t>
  </si>
  <si>
    <t>1. Куданов Иван</t>
  </si>
  <si>
    <t>Юниоры 20 - 23 (08.11.1998)/23</t>
  </si>
  <si>
    <t>99,60</t>
  </si>
  <si>
    <t xml:space="preserve">Геворк </t>
  </si>
  <si>
    <t>Открытая (08.11.1998)/23</t>
  </si>
  <si>
    <t xml:space="preserve">Результат </t>
  </si>
  <si>
    <t xml:space="preserve">Юниоры </t>
  </si>
  <si>
    <t>100</t>
  </si>
  <si>
    <t>75</t>
  </si>
  <si>
    <t xml:space="preserve">Мастера 40 - 44 </t>
  </si>
  <si>
    <t>82.5</t>
  </si>
  <si>
    <t>Результат</t>
  </si>
  <si>
    <t>Чемпионат России
ПРО жим лежа без экипировки
Краснодар/Краснодарский край 23 - 24 июля 2022 г.</t>
  </si>
  <si>
    <t>ВЕСОВАЯ КАТЕГОРИЯ   60</t>
  </si>
  <si>
    <t>Воротникова Оксана</t>
  </si>
  <si>
    <t>1. Воротникова Оксана</t>
  </si>
  <si>
    <t>Открытая (16.10.1984)/37</t>
  </si>
  <si>
    <t>59,30</t>
  </si>
  <si>
    <t>Апакшин Игорь</t>
  </si>
  <si>
    <t>1. Апакшин Игорь</t>
  </si>
  <si>
    <t>Мастера 55 - 59 (30.03.1964)/58</t>
  </si>
  <si>
    <t>80,90</t>
  </si>
  <si>
    <t>132,5</t>
  </si>
  <si>
    <t>Зубков Илья</t>
  </si>
  <si>
    <t>1. Зубков Илья</t>
  </si>
  <si>
    <t>Открытая (08.01.1984)/38</t>
  </si>
  <si>
    <t>109,00</t>
  </si>
  <si>
    <t>200,0</t>
  </si>
  <si>
    <t>60</t>
  </si>
  <si>
    <t xml:space="preserve">Мастера 55 - 59 </t>
  </si>
  <si>
    <t>Чемпионат России
ПРО жим лежа в Софт экипировка многопетельная
Краснодар/Краснодарский край 23 - 24 июля 2022 г.</t>
  </si>
  <si>
    <t>-. Космынин Владимир</t>
  </si>
  <si>
    <t>Мастера 60 - 64 (12.06.1960)/62</t>
  </si>
  <si>
    <t>66,10</t>
  </si>
  <si>
    <t>Чемпионат России
Любители становая тяга без экипировки
Краснодар/Краснодарский край 23 - 24 июля 2022 г.</t>
  </si>
  <si>
    <t>Воротынцева Светлана</t>
  </si>
  <si>
    <t>1. Воротынцева Светлана</t>
  </si>
  <si>
    <t>Открытая (21.11.1992)/29</t>
  </si>
  <si>
    <t>71,80</t>
  </si>
  <si>
    <t xml:space="preserve">Сочи/Краснодарский край </t>
  </si>
  <si>
    <t>1. Шарвин Борис</t>
  </si>
  <si>
    <t>Открытая (12.03.1951)/71</t>
  </si>
  <si>
    <t>66,70</t>
  </si>
  <si>
    <t xml:space="preserve">Тульский/Адыгея республика </t>
  </si>
  <si>
    <t>182,5</t>
  </si>
  <si>
    <t>Гаврилов Максим</t>
  </si>
  <si>
    <t>1. Гаврилов Максим</t>
  </si>
  <si>
    <t>Юниоры 20 - 23 (17.04.1999)/23</t>
  </si>
  <si>
    <t>72,80</t>
  </si>
  <si>
    <t xml:space="preserve">Суворова О.В. </t>
  </si>
  <si>
    <t>Масляков Сергей</t>
  </si>
  <si>
    <t>1. Масляков Сергей</t>
  </si>
  <si>
    <t>Открытая (14.03.1970)/52</t>
  </si>
  <si>
    <t>72,10</t>
  </si>
  <si>
    <t xml:space="preserve">Старжим </t>
  </si>
  <si>
    <t xml:space="preserve">Староминская/Краснодарский край </t>
  </si>
  <si>
    <t>197,5</t>
  </si>
  <si>
    <t>205,0</t>
  </si>
  <si>
    <t xml:space="preserve">Кожушний </t>
  </si>
  <si>
    <t>Твердохлебов Алексей</t>
  </si>
  <si>
    <t>1. Твердохлебов Алексей</t>
  </si>
  <si>
    <t>Открытая (25.05.1989)/33</t>
  </si>
  <si>
    <t>96,30</t>
  </si>
  <si>
    <t xml:space="preserve">Армавир/Краснодарский край </t>
  </si>
  <si>
    <t>215,0</t>
  </si>
  <si>
    <t>235,0</t>
  </si>
  <si>
    <t>240,0</t>
  </si>
  <si>
    <t>Чемпионат России
ПРО становая тяга без экипировки
Краснодар/Краснодарский край 23 - 24 июля 2022 г.</t>
  </si>
  <si>
    <t>Широкобородов Антон</t>
  </si>
  <si>
    <t>1. Широкобородов Антон</t>
  </si>
  <si>
    <t>Юноши 14-15 (18.11.2007)/14</t>
  </si>
  <si>
    <t>48,30</t>
  </si>
  <si>
    <t xml:space="preserve">Star Gym Team </t>
  </si>
  <si>
    <t xml:space="preserve">Масляков Сергей Викторович </t>
  </si>
  <si>
    <t>270,0</t>
  </si>
  <si>
    <t>285,0</t>
  </si>
  <si>
    <t xml:space="preserve">Юноши 14-15 </t>
  </si>
  <si>
    <t>Чемпионат России
Любители присед без экипировки
Краснодар/Краснодарский край 23 - 24 июля 2022 г.</t>
  </si>
  <si>
    <t>Чемпионат России
Силовое двоеборье профессионалы
Краснодар/Краснодарский край 23 - 24 июля 2022 г.</t>
  </si>
  <si>
    <t>Пицун Денис</t>
  </si>
  <si>
    <t>1. Пицун Денис</t>
  </si>
  <si>
    <t>Мастера 40 - 44 (05.05.1979)/43</t>
  </si>
  <si>
    <t>90,30</t>
  </si>
  <si>
    <t>Шаврин Борис</t>
  </si>
  <si>
    <t>Шорохов Никита</t>
  </si>
  <si>
    <t xml:space="preserve">НАП Н.Ж. </t>
  </si>
  <si>
    <t>22,0</t>
  </si>
  <si>
    <t>74,00</t>
  </si>
  <si>
    <t>Юниоры 20 - 23 (17.12.1999)/22</t>
  </si>
  <si>
    <t>1. Шорохов Никита</t>
  </si>
  <si>
    <t>Мн.повт. жим</t>
  </si>
  <si>
    <t>НАП Н.Ж.</t>
  </si>
  <si>
    <t>Чемпионат России (Мн.жим+тяга)
Любители Военный жим многоповторный
Краснодар/Краснодарский край 23 - 24 июля 2022 г.</t>
  </si>
  <si>
    <t>37,0</t>
  </si>
  <si>
    <t>72,5</t>
  </si>
  <si>
    <t>Народная становая</t>
  </si>
  <si>
    <t>Чемпионат России (Мн.жим+тяга)
Профессионалы народная становая тяга
Краснодар/Краснодарский край 23 - 24 июля 2022 г.</t>
  </si>
  <si>
    <t>28,0</t>
  </si>
  <si>
    <t>Народный жим</t>
  </si>
  <si>
    <t>Чемпионат России (Мн.жим+тяга)
Профессионалы народный жим (1 вес)
Краснодар/Краснодарский край 23 - 24 июля 2022 г.</t>
  </si>
  <si>
    <t>48</t>
  </si>
  <si>
    <t>Филоненко Юлия</t>
  </si>
  <si>
    <t>Чугунова Оксана</t>
  </si>
  <si>
    <t>27,5</t>
  </si>
  <si>
    <t>54,00</t>
  </si>
  <si>
    <t>Открытая (06.05.1984)/38</t>
  </si>
  <si>
    <t>1. Чугунова Оксана</t>
  </si>
  <si>
    <t>22,5</t>
  </si>
  <si>
    <t xml:space="preserve">Урай/Ханты-Мансийский авт. окр. </t>
  </si>
  <si>
    <t>45,00</t>
  </si>
  <si>
    <t>Открытая (02.12.1990)/31</t>
  </si>
  <si>
    <t>1. Филоненко Юлия</t>
  </si>
  <si>
    <t>ВЕСОВАЯ КАТЕГОРИЯ   48</t>
  </si>
  <si>
    <t>Чемпионат России (Мн.жим+тяга)
Любители народный жим (1/2 вес)
Краснодар/Краснодарский край 23 - 24 июля 2022 г.</t>
  </si>
  <si>
    <t>Чугунов Евгений</t>
  </si>
  <si>
    <t>67,5</t>
  </si>
  <si>
    <t>99,00</t>
  </si>
  <si>
    <t>Открытая (24.04.1983)/39</t>
  </si>
  <si>
    <t>1. Чугунов Евгений</t>
  </si>
  <si>
    <t>Подъем на бицепс</t>
  </si>
  <si>
    <t>Жим стоя</t>
  </si>
  <si>
    <t>Чемпионат России 2022 (Пауэрспорт)
Пауэрспорт Профессионалы
Краснодар/Краснодарский край 23 - 24 июля 2022 г.</t>
  </si>
  <si>
    <t>Никандров Роман</t>
  </si>
  <si>
    <t>Серебренников Егор</t>
  </si>
  <si>
    <t xml:space="preserve">Мистер Мускул </t>
  </si>
  <si>
    <t>101,40</t>
  </si>
  <si>
    <t>Мастера 40 - 44 (30.10.1978)/43</t>
  </si>
  <si>
    <t>1. Никандров Роман</t>
  </si>
  <si>
    <t xml:space="preserve">Санкт-Петербург </t>
  </si>
  <si>
    <t>83,80</t>
  </si>
  <si>
    <t>Открытая (08.04.1986)/36</t>
  </si>
  <si>
    <t>1. Серебренников Егор</t>
  </si>
  <si>
    <t>Чемпионат России 2022 (Пауэрспорт)
Одиночный подъём штанги на бицепс Профессионалы
Краснодар/Краснодарский край 23 - 24 июля 2022 г.</t>
  </si>
  <si>
    <t xml:space="preserve">Мастера 50 - 54 </t>
  </si>
  <si>
    <t>Корчагин Анатолий</t>
  </si>
  <si>
    <t>Тежаев Михаил</t>
  </si>
  <si>
    <t>Налбандян Карен</t>
  </si>
  <si>
    <t>65,0</t>
  </si>
  <si>
    <t>57,5</t>
  </si>
  <si>
    <t>Открытая (22.01.1995)/27</t>
  </si>
  <si>
    <t>1. Налбандян Карен</t>
  </si>
  <si>
    <t>77,90</t>
  </si>
  <si>
    <t>Мастера 50 - 54 (18.12.1968)/53</t>
  </si>
  <si>
    <t>1. Корчагин Анатолий</t>
  </si>
  <si>
    <t xml:space="preserve">Нальчик/Кабардино-Балкария </t>
  </si>
  <si>
    <t>74,70</t>
  </si>
  <si>
    <t>Открытая (16.06.1987)/35</t>
  </si>
  <si>
    <t>1. Тежаев Михаил</t>
  </si>
  <si>
    <t>32,5</t>
  </si>
  <si>
    <t>Чемпионат России 2022 (Пауэрспорт)
Одиночный подъём штанги на бицепс Любители
Краснодар/Краснодарский край 23 - 24 июля 2022 г.</t>
  </si>
  <si>
    <t>Чемпионат России 2022 (Пауэрспорт)
Одиночный жим штанги стоя Профессионалы
Краснодар/Краснодарский край 23 - 24 июля 2022 г.</t>
  </si>
  <si>
    <t>All</t>
  </si>
  <si>
    <t xml:space="preserve">Атлетизм </t>
  </si>
  <si>
    <t>8,0</t>
  </si>
  <si>
    <t>Мастера 50 - 54 (14.03.1970)/52</t>
  </si>
  <si>
    <t>ВЕСОВАЯ КАТЕГОРИЯ   All</t>
  </si>
  <si>
    <t>Русская становая</t>
  </si>
  <si>
    <t>Атлетизм</t>
  </si>
  <si>
    <t>Чемпионат России (Рус.жим+тяга)
Русская станова тяга любители 200 кг.
Краснодар/Краснодарский край 23 - 24 июля 2022 г.</t>
  </si>
  <si>
    <t>Чемпионат России (Рус.жим+тяга)
Русская станова тяга профессионалы 150 кг.
Краснодар/Краснодарский край 23 - 24 июля 2022 г.</t>
  </si>
  <si>
    <t>Буц Виталий</t>
  </si>
  <si>
    <t>18,0</t>
  </si>
  <si>
    <t>89,00</t>
  </si>
  <si>
    <t>Открытая (18.03.1988)/34</t>
  </si>
  <si>
    <t>1. Буц Виталий</t>
  </si>
  <si>
    <t>Чемпионат России (Рус.жим+тяга)
Русская станова тяга любители 150 кг.
Краснодар/Краснодарский край 23 - 24 июля 2022 г.</t>
  </si>
  <si>
    <t>Шульга Руслан</t>
  </si>
  <si>
    <t xml:space="preserve">Масляков С.В. </t>
  </si>
  <si>
    <t>23,0</t>
  </si>
  <si>
    <t>70,10</t>
  </si>
  <si>
    <t>Юноши 16 - 17 (28.02.2005)/17</t>
  </si>
  <si>
    <t>1. Шульга Руслан</t>
  </si>
  <si>
    <t>Чемпионат России (Рус.жим+тяга)
Русская станова тяга любители 100 кг.
Краснодар/Краснодарский край 23 - 24 июля 2022 г.</t>
  </si>
  <si>
    <t>Щиклина Марина</t>
  </si>
  <si>
    <t xml:space="preserve">Геворг </t>
  </si>
  <si>
    <t>31,0</t>
  </si>
  <si>
    <t>55,70</t>
  </si>
  <si>
    <t>Открытая (02.09.1989)/32</t>
  </si>
  <si>
    <t>1. Щиклина Марина</t>
  </si>
  <si>
    <t>Чемпионат России (Рус.жим+тяга)
Русская станова тяга любители 75 кг.
Краснодар/Краснодарский край 23 - 24 июля 2022 г.</t>
  </si>
  <si>
    <t>Чемпионат России (Рус.жим+тяга)
Русская станова тяга любители 55 кг.
Краснодар/Краснодарский край 23 - 24 июля 2022 г.</t>
  </si>
  <si>
    <t>Соломахин Александр</t>
  </si>
  <si>
    <t>15,0</t>
  </si>
  <si>
    <t xml:space="preserve">Новочеркасск/Ростовская область </t>
  </si>
  <si>
    <t xml:space="preserve">Muzychenko team </t>
  </si>
  <si>
    <t>Открытая (27.06.1984)/38</t>
  </si>
  <si>
    <t>2. Соломахин Александр</t>
  </si>
  <si>
    <t>42,0</t>
  </si>
  <si>
    <t>Подъем на бицепс мн.повт.</t>
  </si>
  <si>
    <t>Чемпионат России (Рус.жим+тяга)
Русский бицепс профессионалы 50 кг.
Краснодар/Краснодарский край 23 - 24 июля 2022 г.</t>
  </si>
  <si>
    <t>35,0</t>
  </si>
  <si>
    <t>Чемпионат России (Рус.жим+тяга)
Русский бицепс профессионалы 35 кг.
Краснодар/Краснодарский край 23 - 24 июля 2022 г.</t>
  </si>
  <si>
    <t>16,0</t>
  </si>
  <si>
    <t>Открытая (05.05.1979)/43</t>
  </si>
  <si>
    <t>Русский жим</t>
  </si>
  <si>
    <t>Чемпионат России (Рус.жим+тяга)
Русский жим профессионалы 125 кг.
Краснодар/Краснодарский край 23 - 24 июля 2022 г.</t>
  </si>
  <si>
    <t>101,30</t>
  </si>
  <si>
    <t>Чемпионат России (Рус.жим+тяга)
Русский жим профессионалы 55 кг.
Краснодар/Краснодарский край 23 - 24 июля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</si>
</sst>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9.25390625" style="5" bestFit="1" customWidth="1"/>
    <col min="5" max="5" width="22.75390625" style="4" bestFit="1" customWidth="1"/>
    <col min="6" max="6" width="29.75390625" style="4" bestFit="1" customWidth="1"/>
    <col min="7" max="9" width="5.625" style="3" customWidth="1"/>
    <col min="10" max="10" width="4.875" style="3" customWidth="1"/>
    <col min="11" max="13" width="5.625" style="3" customWidth="1"/>
    <col min="14" max="14" width="4.875" style="3" customWidth="1"/>
    <col min="15" max="15" width="7.875" style="7" bestFit="1" customWidth="1"/>
    <col min="16" max="16" width="8.625" style="8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61" t="s">
        <v>261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14</v>
      </c>
      <c r="H3" s="56"/>
      <c r="I3" s="56"/>
      <c r="J3" s="56"/>
      <c r="K3" s="56" t="s">
        <v>15</v>
      </c>
      <c r="L3" s="56"/>
      <c r="M3" s="56"/>
      <c r="N3" s="56"/>
      <c r="O3" s="54" t="s">
        <v>1</v>
      </c>
      <c r="P3" s="54" t="s">
        <v>3</v>
      </c>
      <c r="Q3" s="57" t="s">
        <v>2</v>
      </c>
    </row>
    <row r="4" spans="1:17" s="1" customFormat="1" ht="21" customHeight="1" thickBot="1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55"/>
      <c r="P4" s="55"/>
      <c r="Q4" s="58"/>
    </row>
    <row r="5" spans="1:14" ht="15">
      <c r="A5" s="59" t="s">
        <v>181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 ht="12.75">
      <c r="A6" s="10" t="s">
        <v>263</v>
      </c>
      <c r="B6" s="10" t="s">
        <v>264</v>
      </c>
      <c r="C6" s="10" t="s">
        <v>265</v>
      </c>
      <c r="D6" s="11" t="str">
        <f>"0,5842"</f>
        <v>0,5842</v>
      </c>
      <c r="E6" s="10" t="s">
        <v>69</v>
      </c>
      <c r="F6" s="10" t="s">
        <v>54</v>
      </c>
      <c r="G6" s="12" t="s">
        <v>28</v>
      </c>
      <c r="H6" s="13" t="s">
        <v>130</v>
      </c>
      <c r="I6" s="12" t="s">
        <v>130</v>
      </c>
      <c r="J6" s="13"/>
      <c r="K6" s="12" t="s">
        <v>28</v>
      </c>
      <c r="L6" s="12" t="s">
        <v>137</v>
      </c>
      <c r="M6" s="12" t="s">
        <v>210</v>
      </c>
      <c r="N6" s="13"/>
      <c r="O6" s="14" t="str">
        <f>"385,0"</f>
        <v>385,0</v>
      </c>
      <c r="P6" s="15" t="str">
        <f>"228,9655"</f>
        <v>228,9655</v>
      </c>
      <c r="Q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144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44</v>
      </c>
      <c r="E19" s="22" t="s">
        <v>45</v>
      </c>
    </row>
    <row r="20" spans="1:5" ht="12.75">
      <c r="A20" s="19" t="s">
        <v>262</v>
      </c>
      <c r="B20" s="4" t="s">
        <v>192</v>
      </c>
      <c r="C20" s="4" t="s">
        <v>190</v>
      </c>
      <c r="D20" s="24">
        <v>385</v>
      </c>
      <c r="E20" s="25">
        <v>228.965515643358</v>
      </c>
    </row>
  </sheetData>
  <sheetProtection/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5.625" style="4" bestFit="1" customWidth="1"/>
    <col min="4" max="4" width="9.25390625" style="5" bestFit="1" customWidth="1"/>
    <col min="5" max="5" width="22.75390625" style="4" bestFit="1" customWidth="1"/>
    <col min="6" max="6" width="33.375" style="4" bestFit="1" customWidth="1"/>
    <col min="7" max="9" width="5.625" style="3" customWidth="1"/>
    <col min="10" max="10" width="4.875" style="3" customWidth="1"/>
    <col min="11" max="13" width="5.625" style="3" customWidth="1"/>
    <col min="14" max="14" width="4.875" style="3" customWidth="1"/>
    <col min="15" max="17" width="5.625" style="3" customWidth="1"/>
    <col min="18" max="18" width="4.875" style="3" customWidth="1"/>
    <col min="19" max="19" width="7.875" style="7" bestFit="1" customWidth="1"/>
    <col min="20" max="20" width="8.625" style="8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61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13</v>
      </c>
      <c r="H3" s="56"/>
      <c r="I3" s="56"/>
      <c r="J3" s="56"/>
      <c r="K3" s="56" t="s">
        <v>14</v>
      </c>
      <c r="L3" s="56"/>
      <c r="M3" s="56"/>
      <c r="N3" s="56"/>
      <c r="O3" s="56" t="s">
        <v>15</v>
      </c>
      <c r="P3" s="56"/>
      <c r="Q3" s="56"/>
      <c r="R3" s="56"/>
      <c r="S3" s="54" t="s">
        <v>1</v>
      </c>
      <c r="T3" s="54" t="s">
        <v>3</v>
      </c>
      <c r="U3" s="57" t="s">
        <v>2</v>
      </c>
    </row>
    <row r="4" spans="1:21" s="1" customFormat="1" ht="21" customHeight="1" thickBot="1">
      <c r="A4" s="51"/>
      <c r="B4" s="53"/>
      <c r="C4" s="53"/>
      <c r="D4" s="55"/>
      <c r="E4" s="53"/>
      <c r="F4" s="53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55"/>
      <c r="T4" s="55"/>
      <c r="U4" s="58"/>
    </row>
    <row r="5" spans="1:18" ht="15">
      <c r="A5" s="59" t="s">
        <v>16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1" ht="12.75">
      <c r="A6" s="10" t="s">
        <v>18</v>
      </c>
      <c r="B6" s="10" t="s">
        <v>19</v>
      </c>
      <c r="C6" s="10" t="s">
        <v>20</v>
      </c>
      <c r="D6" s="11" t="str">
        <f>"0,5463"</f>
        <v>0,5463</v>
      </c>
      <c r="E6" s="10" t="s">
        <v>21</v>
      </c>
      <c r="F6" s="10" t="s">
        <v>22</v>
      </c>
      <c r="G6" s="12" t="s">
        <v>23</v>
      </c>
      <c r="H6" s="12" t="s">
        <v>24</v>
      </c>
      <c r="I6" s="12" t="s">
        <v>25</v>
      </c>
      <c r="J6" s="13"/>
      <c r="K6" s="12" t="s">
        <v>26</v>
      </c>
      <c r="L6" s="12" t="s">
        <v>27</v>
      </c>
      <c r="M6" s="12" t="s">
        <v>28</v>
      </c>
      <c r="N6" s="13"/>
      <c r="O6" s="12" t="s">
        <v>29</v>
      </c>
      <c r="P6" s="12" t="s">
        <v>30</v>
      </c>
      <c r="Q6" s="12" t="s">
        <v>31</v>
      </c>
      <c r="R6" s="13"/>
      <c r="S6" s="14" t="str">
        <f>"750,0"</f>
        <v>750,0</v>
      </c>
      <c r="T6" s="15" t="str">
        <f>"409,7250"</f>
        <v>409,7250</v>
      </c>
      <c r="U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40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44</v>
      </c>
      <c r="E19" s="22" t="s">
        <v>45</v>
      </c>
    </row>
    <row r="20" spans="1:5" ht="12.75">
      <c r="A20" s="19" t="s">
        <v>17</v>
      </c>
      <c r="B20" s="4" t="s">
        <v>40</v>
      </c>
      <c r="C20" s="4" t="s">
        <v>46</v>
      </c>
      <c r="D20" s="24">
        <v>750</v>
      </c>
      <c r="E20" s="25">
        <v>409.724995493889</v>
      </c>
    </row>
  </sheetData>
  <sheetProtection/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2.625" style="4" bestFit="1" customWidth="1"/>
    <col min="7" max="7" width="5.00390625" style="3" customWidth="1"/>
    <col min="8" max="8" width="10.375" style="3" customWidth="1"/>
    <col min="9" max="9" width="7.875" style="7" bestFit="1" customWidth="1"/>
    <col min="10" max="10" width="9.625" style="8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1" t="s">
        <v>275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274</v>
      </c>
      <c r="E3" s="56" t="s">
        <v>4</v>
      </c>
      <c r="F3" s="56" t="s">
        <v>7</v>
      </c>
      <c r="G3" s="56" t="s">
        <v>273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147</v>
      </c>
      <c r="B5" s="60"/>
      <c r="C5" s="60"/>
      <c r="D5" s="60"/>
      <c r="E5" s="60"/>
      <c r="F5" s="60"/>
      <c r="G5" s="60"/>
      <c r="H5" s="60"/>
    </row>
    <row r="6" spans="1:11" ht="12.75">
      <c r="A6" s="10" t="s">
        <v>272</v>
      </c>
      <c r="B6" s="10" t="s">
        <v>271</v>
      </c>
      <c r="C6" s="10" t="s">
        <v>270</v>
      </c>
      <c r="D6" s="11" t="str">
        <f>"0,7977"</f>
        <v>0,7977</v>
      </c>
      <c r="E6" s="10" t="s">
        <v>69</v>
      </c>
      <c r="F6" s="10" t="s">
        <v>70</v>
      </c>
      <c r="G6" s="12" t="s">
        <v>72</v>
      </c>
      <c r="H6" s="12" t="s">
        <v>269</v>
      </c>
      <c r="I6" s="14" t="str">
        <f>"1650,0"</f>
        <v>1650,0</v>
      </c>
      <c r="J6" s="15" t="str">
        <f>"1316,2050"</f>
        <v>1316,2050</v>
      </c>
      <c r="K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189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188</v>
      </c>
      <c r="E19" s="22" t="s">
        <v>268</v>
      </c>
    </row>
    <row r="20" spans="1:5" ht="12.75">
      <c r="A20" s="19" t="s">
        <v>267</v>
      </c>
      <c r="B20" s="4" t="s">
        <v>114</v>
      </c>
      <c r="C20" s="4" t="s">
        <v>191</v>
      </c>
      <c r="D20" s="24">
        <v>1650</v>
      </c>
      <c r="E20" s="25">
        <v>1316.20498001575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6.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2.625" style="4" bestFit="1" customWidth="1"/>
    <col min="7" max="7" width="5.00390625" style="3" customWidth="1"/>
    <col min="8" max="8" width="10.375" style="3" customWidth="1"/>
    <col min="9" max="9" width="7.875" style="7" bestFit="1" customWidth="1"/>
    <col min="10" max="10" width="9.625" style="8" bestFit="1" customWidth="1"/>
    <col min="11" max="11" width="27.625" style="4" bestFit="1" customWidth="1"/>
    <col min="12" max="16384" width="9.125" style="3" customWidth="1"/>
  </cols>
  <sheetData>
    <row r="1" spans="1:11" s="2" customFormat="1" ht="28.5" customHeight="1">
      <c r="A1" s="61" t="s">
        <v>279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274</v>
      </c>
      <c r="E3" s="56" t="s">
        <v>4</v>
      </c>
      <c r="F3" s="56" t="s">
        <v>7</v>
      </c>
      <c r="G3" s="56" t="s">
        <v>278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48</v>
      </c>
      <c r="B5" s="60"/>
      <c r="C5" s="60"/>
      <c r="D5" s="60"/>
      <c r="E5" s="60"/>
      <c r="F5" s="60"/>
      <c r="G5" s="60"/>
      <c r="H5" s="60"/>
    </row>
    <row r="6" spans="1:11" ht="12.75">
      <c r="A6" s="10" t="s">
        <v>252</v>
      </c>
      <c r="B6" s="10" t="s">
        <v>253</v>
      </c>
      <c r="C6" s="10" t="s">
        <v>254</v>
      </c>
      <c r="D6" s="11" t="str">
        <f>"1,0766"</f>
        <v>1,0766</v>
      </c>
      <c r="E6" s="10" t="s">
        <v>255</v>
      </c>
      <c r="F6" s="10" t="s">
        <v>238</v>
      </c>
      <c r="G6" s="12" t="s">
        <v>277</v>
      </c>
      <c r="H6" s="12" t="s">
        <v>276</v>
      </c>
      <c r="I6" s="14" t="str">
        <f>"2682,5"</f>
        <v>2682,5</v>
      </c>
      <c r="J6" s="15" t="str">
        <f>"2887,9794"</f>
        <v>2887,9794</v>
      </c>
      <c r="K6" s="10" t="s">
        <v>256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117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188</v>
      </c>
      <c r="E19" s="22" t="s">
        <v>268</v>
      </c>
    </row>
    <row r="20" spans="1:5" ht="12.75">
      <c r="A20" s="19" t="s">
        <v>251</v>
      </c>
      <c r="B20" s="4" t="s">
        <v>259</v>
      </c>
      <c r="C20" s="4" t="s">
        <v>116</v>
      </c>
      <c r="D20" s="24">
        <v>2682.5</v>
      </c>
      <c r="E20" s="25">
        <v>2887.97938078642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29.75390625" style="4" bestFit="1" customWidth="1"/>
    <col min="7" max="7" width="5.625" style="3" customWidth="1"/>
    <col min="8" max="8" width="10.375" style="3" customWidth="1"/>
    <col min="9" max="9" width="7.875" style="7" bestFit="1" customWidth="1"/>
    <col min="10" max="10" width="9.625" style="8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1" t="s">
        <v>282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274</v>
      </c>
      <c r="E3" s="56" t="s">
        <v>4</v>
      </c>
      <c r="F3" s="56" t="s">
        <v>7</v>
      </c>
      <c r="G3" s="56" t="s">
        <v>281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16</v>
      </c>
      <c r="B5" s="60"/>
      <c r="C5" s="60"/>
      <c r="D5" s="60"/>
      <c r="E5" s="60"/>
      <c r="F5" s="60"/>
      <c r="G5" s="60"/>
      <c r="H5" s="60"/>
    </row>
    <row r="6" spans="1:11" ht="12.75">
      <c r="A6" s="10" t="s">
        <v>207</v>
      </c>
      <c r="B6" s="10" t="s">
        <v>208</v>
      </c>
      <c r="C6" s="10" t="s">
        <v>209</v>
      </c>
      <c r="D6" s="11" t="str">
        <f>"0,6463"</f>
        <v>0,6463</v>
      </c>
      <c r="E6" s="10" t="s">
        <v>69</v>
      </c>
      <c r="F6" s="10" t="s">
        <v>54</v>
      </c>
      <c r="G6" s="12" t="s">
        <v>60</v>
      </c>
      <c r="H6" s="12" t="s">
        <v>280</v>
      </c>
      <c r="I6" s="14" t="str">
        <f>"3080,0"</f>
        <v>3080,0</v>
      </c>
      <c r="J6" s="15" t="str">
        <f>"1990,6041"</f>
        <v>1990,6041</v>
      </c>
      <c r="K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40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188</v>
      </c>
      <c r="E19" s="22" t="s">
        <v>268</v>
      </c>
    </row>
    <row r="20" spans="1:5" ht="12.75">
      <c r="A20" s="19" t="s">
        <v>206</v>
      </c>
      <c r="B20" s="4" t="s">
        <v>40</v>
      </c>
      <c r="C20" s="4" t="s">
        <v>46</v>
      </c>
      <c r="D20" s="24">
        <v>3080</v>
      </c>
      <c r="E20" s="25">
        <v>1990.60405492783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0.875" style="4" bestFit="1" customWidth="1"/>
    <col min="7" max="7" width="5.00390625" style="3" customWidth="1"/>
    <col min="8" max="8" width="10.375" style="3" customWidth="1"/>
    <col min="9" max="9" width="7.875" style="7" bestFit="1" customWidth="1"/>
    <col min="10" max="10" width="9.625" style="8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1" t="s">
        <v>296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274</v>
      </c>
      <c r="E3" s="56" t="s">
        <v>4</v>
      </c>
      <c r="F3" s="56" t="s">
        <v>7</v>
      </c>
      <c r="G3" s="56" t="s">
        <v>281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295</v>
      </c>
      <c r="B5" s="60"/>
      <c r="C5" s="60"/>
      <c r="D5" s="60"/>
      <c r="E5" s="60"/>
      <c r="F5" s="60"/>
      <c r="G5" s="60"/>
      <c r="H5" s="60"/>
    </row>
    <row r="6" spans="1:11" ht="12.75">
      <c r="A6" s="10" t="s">
        <v>294</v>
      </c>
      <c r="B6" s="10" t="s">
        <v>293</v>
      </c>
      <c r="C6" s="10" t="s">
        <v>292</v>
      </c>
      <c r="D6" s="11" t="str">
        <f>"1,0267"</f>
        <v>1,0267</v>
      </c>
      <c r="E6" s="10" t="s">
        <v>69</v>
      </c>
      <c r="F6" s="10" t="s">
        <v>291</v>
      </c>
      <c r="G6" s="12" t="s">
        <v>290</v>
      </c>
      <c r="H6" s="12" t="s">
        <v>74</v>
      </c>
      <c r="I6" s="14" t="str">
        <f>"1012,5"</f>
        <v>1012,5</v>
      </c>
      <c r="J6" s="15" t="str">
        <f>"1039,5338"</f>
        <v>1039,5338</v>
      </c>
      <c r="K6" s="10" t="s">
        <v>32</v>
      </c>
    </row>
    <row r="8" spans="1:8" ht="15">
      <c r="A8" s="62" t="s">
        <v>64</v>
      </c>
      <c r="B8" s="63"/>
      <c r="C8" s="63"/>
      <c r="D8" s="63"/>
      <c r="E8" s="63"/>
      <c r="F8" s="63"/>
      <c r="G8" s="63"/>
      <c r="H8" s="63"/>
    </row>
    <row r="9" spans="1:11" ht="12.75">
      <c r="A9" s="10" t="s">
        <v>289</v>
      </c>
      <c r="B9" s="10" t="s">
        <v>288</v>
      </c>
      <c r="C9" s="10" t="s">
        <v>287</v>
      </c>
      <c r="D9" s="11" t="str">
        <f>"0,9506"</f>
        <v>0,9506</v>
      </c>
      <c r="E9" s="10" t="s">
        <v>69</v>
      </c>
      <c r="F9" s="10" t="s">
        <v>222</v>
      </c>
      <c r="G9" s="12" t="s">
        <v>286</v>
      </c>
      <c r="H9" s="12" t="s">
        <v>74</v>
      </c>
      <c r="I9" s="14" t="str">
        <f>"1237,5"</f>
        <v>1237,5</v>
      </c>
      <c r="J9" s="15" t="str">
        <f>"1176,3675"</f>
        <v>1176,3675</v>
      </c>
      <c r="K9" s="10" t="s">
        <v>32</v>
      </c>
    </row>
    <row r="11" ht="15">
      <c r="E11" s="16" t="s">
        <v>33</v>
      </c>
    </row>
    <row r="12" ht="15">
      <c r="E12" s="16" t="s">
        <v>34</v>
      </c>
    </row>
    <row r="13" ht="15">
      <c r="E13" s="16" t="s">
        <v>35</v>
      </c>
    </row>
    <row r="14" ht="15">
      <c r="E14" s="16" t="s">
        <v>36</v>
      </c>
    </row>
    <row r="15" ht="15">
      <c r="E15" s="16" t="s">
        <v>36</v>
      </c>
    </row>
    <row r="16" ht="15">
      <c r="E16" s="16" t="s">
        <v>37</v>
      </c>
    </row>
    <row r="17" ht="15">
      <c r="E17" s="16"/>
    </row>
    <row r="19" spans="1:2" ht="18">
      <c r="A19" s="17" t="s">
        <v>38</v>
      </c>
      <c r="B19" s="17"/>
    </row>
    <row r="20" spans="1:2" ht="15">
      <c r="A20" s="18" t="s">
        <v>109</v>
      </c>
      <c r="B20" s="18"/>
    </row>
    <row r="21" spans="1:2" ht="14.25">
      <c r="A21" s="20"/>
      <c r="B21" s="21" t="s">
        <v>40</v>
      </c>
    </row>
    <row r="22" spans="1:5" ht="15">
      <c r="A22" s="22" t="s">
        <v>41</v>
      </c>
      <c r="B22" s="22" t="s">
        <v>42</v>
      </c>
      <c r="C22" s="22" t="s">
        <v>43</v>
      </c>
      <c r="D22" s="23" t="s">
        <v>188</v>
      </c>
      <c r="E22" s="22" t="s">
        <v>268</v>
      </c>
    </row>
    <row r="23" spans="1:5" ht="12.75">
      <c r="A23" s="19" t="s">
        <v>285</v>
      </c>
      <c r="B23" s="4" t="s">
        <v>40</v>
      </c>
      <c r="C23" s="4" t="s">
        <v>112</v>
      </c>
      <c r="D23" s="24">
        <v>1237.5</v>
      </c>
      <c r="E23" s="25">
        <v>1176.36753469706</v>
      </c>
    </row>
    <row r="24" spans="1:5" ht="12.75">
      <c r="A24" s="19" t="s">
        <v>284</v>
      </c>
      <c r="B24" s="4" t="s">
        <v>40</v>
      </c>
      <c r="C24" s="4" t="s">
        <v>283</v>
      </c>
      <c r="D24" s="24">
        <v>1012.5</v>
      </c>
      <c r="E24" s="25">
        <v>1039.53377008438</v>
      </c>
    </row>
  </sheetData>
  <sheetProtection/>
  <mergeCells count="13">
    <mergeCell ref="A5:H5"/>
    <mergeCell ref="A8:H8"/>
    <mergeCell ref="D3:D4"/>
    <mergeCell ref="I3:I4"/>
    <mergeCell ref="J3:J4"/>
    <mergeCell ref="A1:K2"/>
    <mergeCell ref="A3:A4"/>
    <mergeCell ref="B3:B4"/>
    <mergeCell ref="C3:C4"/>
    <mergeCell ref="K3:K4"/>
    <mergeCell ref="F3:F4"/>
    <mergeCell ref="E3:E4"/>
    <mergeCell ref="G3:H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5.625" style="4" bestFit="1" customWidth="1"/>
    <col min="4" max="4" width="9.25390625" style="5" bestFit="1" customWidth="1"/>
    <col min="5" max="5" width="22.75390625" style="4" bestFit="1" customWidth="1"/>
    <col min="6" max="6" width="29.75390625" style="4" bestFit="1" customWidth="1"/>
    <col min="7" max="7" width="4.625" style="3" customWidth="1"/>
    <col min="8" max="9" width="5.625" style="3" customWidth="1"/>
    <col min="10" max="10" width="4.875" style="3" customWidth="1"/>
    <col min="11" max="13" width="4.625" style="3" customWidth="1"/>
    <col min="14" max="14" width="4.875" style="3" customWidth="1"/>
    <col min="15" max="15" width="7.875" style="7" bestFit="1" customWidth="1"/>
    <col min="16" max="16" width="7.625" style="8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61" t="s">
        <v>304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303</v>
      </c>
      <c r="H3" s="56"/>
      <c r="I3" s="56"/>
      <c r="J3" s="56"/>
      <c r="K3" s="56" t="s">
        <v>302</v>
      </c>
      <c r="L3" s="56"/>
      <c r="M3" s="56"/>
      <c r="N3" s="56"/>
      <c r="O3" s="54" t="s">
        <v>1</v>
      </c>
      <c r="P3" s="54" t="s">
        <v>3</v>
      </c>
      <c r="Q3" s="57" t="s">
        <v>2</v>
      </c>
    </row>
    <row r="4" spans="1:17" s="1" customFormat="1" ht="21" customHeight="1" thickBot="1">
      <c r="A4" s="51"/>
      <c r="B4" s="53"/>
      <c r="C4" s="53"/>
      <c r="D4" s="55"/>
      <c r="E4" s="53"/>
      <c r="F4" s="53"/>
      <c r="G4" s="44">
        <v>1</v>
      </c>
      <c r="H4" s="44">
        <v>2</v>
      </c>
      <c r="I4" s="44">
        <v>3</v>
      </c>
      <c r="J4" s="44" t="s">
        <v>5</v>
      </c>
      <c r="K4" s="44">
        <v>1</v>
      </c>
      <c r="L4" s="44">
        <v>2</v>
      </c>
      <c r="M4" s="44">
        <v>3</v>
      </c>
      <c r="N4" s="44" t="s">
        <v>5</v>
      </c>
      <c r="O4" s="55"/>
      <c r="P4" s="55"/>
      <c r="Q4" s="58"/>
    </row>
    <row r="5" spans="1:14" ht="15">
      <c r="A5" s="59" t="s">
        <v>181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 ht="12.75">
      <c r="A6" s="10" t="s">
        <v>301</v>
      </c>
      <c r="B6" s="10" t="s">
        <v>300</v>
      </c>
      <c r="C6" s="10" t="s">
        <v>299</v>
      </c>
      <c r="D6" s="11" t="str">
        <f>"0,5565"</f>
        <v>0,5565</v>
      </c>
      <c r="E6" s="10" t="s">
        <v>69</v>
      </c>
      <c r="F6" s="10" t="s">
        <v>54</v>
      </c>
      <c r="G6" s="12" t="s">
        <v>56</v>
      </c>
      <c r="H6" s="12" t="s">
        <v>90</v>
      </c>
      <c r="I6" s="13" t="s">
        <v>105</v>
      </c>
      <c r="J6" s="13"/>
      <c r="K6" s="12" t="s">
        <v>59</v>
      </c>
      <c r="L6" s="12" t="s">
        <v>298</v>
      </c>
      <c r="M6" s="12" t="s">
        <v>277</v>
      </c>
      <c r="N6" s="13"/>
      <c r="O6" s="14" t="str">
        <f>"172,5"</f>
        <v>172,5</v>
      </c>
      <c r="P6" s="15" t="str">
        <f>"95,9963"</f>
        <v>95,9963</v>
      </c>
      <c r="Q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40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44</v>
      </c>
      <c r="E19" s="22" t="s">
        <v>45</v>
      </c>
    </row>
    <row r="20" spans="1:5" ht="12.75">
      <c r="A20" s="19" t="s">
        <v>297</v>
      </c>
      <c r="B20" s="4" t="s">
        <v>40</v>
      </c>
      <c r="C20" s="4" t="s">
        <v>190</v>
      </c>
      <c r="D20" s="24">
        <v>172.5</v>
      </c>
      <c r="E20" s="25">
        <v>95.9962530434132</v>
      </c>
    </row>
  </sheetData>
  <sheetProtection/>
  <mergeCells count="13">
    <mergeCell ref="F3:F4"/>
    <mergeCell ref="G3:J3"/>
    <mergeCell ref="K3:N3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1.125" style="4" bestFit="1" customWidth="1"/>
    <col min="7" max="9" width="4.625" style="3" customWidth="1"/>
    <col min="10" max="10" width="4.875" style="3" customWidth="1"/>
    <col min="11" max="11" width="7.875" style="7" bestFit="1" customWidth="1"/>
    <col min="12" max="12" width="7.625" style="8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1" t="s">
        <v>315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302</v>
      </c>
      <c r="H3" s="56"/>
      <c r="I3" s="56"/>
      <c r="J3" s="56"/>
      <c r="K3" s="54" t="s">
        <v>194</v>
      </c>
      <c r="L3" s="54" t="s">
        <v>3</v>
      </c>
      <c r="M3" s="57" t="s">
        <v>2</v>
      </c>
    </row>
    <row r="4" spans="1:13" s="1" customFormat="1" ht="21" customHeight="1" thickBot="1">
      <c r="A4" s="51"/>
      <c r="B4" s="53"/>
      <c r="C4" s="53"/>
      <c r="D4" s="55"/>
      <c r="E4" s="53"/>
      <c r="F4" s="53"/>
      <c r="G4" s="44">
        <v>1</v>
      </c>
      <c r="H4" s="44">
        <v>2</v>
      </c>
      <c r="I4" s="44">
        <v>3</v>
      </c>
      <c r="J4" s="44" t="s">
        <v>5</v>
      </c>
      <c r="K4" s="55"/>
      <c r="L4" s="55"/>
      <c r="M4" s="58"/>
    </row>
    <row r="5" spans="1:10" ht="15">
      <c r="A5" s="59" t="s">
        <v>120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ht="12.75">
      <c r="A6" s="10" t="s">
        <v>314</v>
      </c>
      <c r="B6" s="10" t="s">
        <v>313</v>
      </c>
      <c r="C6" s="10" t="s">
        <v>312</v>
      </c>
      <c r="D6" s="11" t="str">
        <f>"0,6127"</f>
        <v>0,6127</v>
      </c>
      <c r="E6" s="10" t="s">
        <v>69</v>
      </c>
      <c r="F6" s="10" t="s">
        <v>311</v>
      </c>
      <c r="G6" s="12" t="s">
        <v>94</v>
      </c>
      <c r="H6" s="12" t="s">
        <v>75</v>
      </c>
      <c r="I6" s="13" t="s">
        <v>59</v>
      </c>
      <c r="J6" s="13"/>
      <c r="K6" s="14" t="str">
        <f>"50,0"</f>
        <v>50,0</v>
      </c>
      <c r="L6" s="15" t="str">
        <f>"30,6350"</f>
        <v>30,6350</v>
      </c>
      <c r="M6" s="10" t="s">
        <v>32</v>
      </c>
    </row>
    <row r="8" spans="1:10" ht="15">
      <c r="A8" s="62" t="s">
        <v>181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ht="12.75">
      <c r="A9" s="10" t="s">
        <v>301</v>
      </c>
      <c r="B9" s="10" t="s">
        <v>300</v>
      </c>
      <c r="C9" s="10" t="s">
        <v>299</v>
      </c>
      <c r="D9" s="11" t="str">
        <f>"0,5565"</f>
        <v>0,5565</v>
      </c>
      <c r="E9" s="10" t="s">
        <v>69</v>
      </c>
      <c r="F9" s="10" t="s">
        <v>54</v>
      </c>
      <c r="G9" s="12" t="s">
        <v>59</v>
      </c>
      <c r="H9" s="12" t="s">
        <v>298</v>
      </c>
      <c r="I9" s="12" t="s">
        <v>277</v>
      </c>
      <c r="J9" s="13"/>
      <c r="K9" s="14" t="str">
        <f>"72,5"</f>
        <v>72,5</v>
      </c>
      <c r="L9" s="15" t="str">
        <f>"40,3463"</f>
        <v>40,3463</v>
      </c>
      <c r="M9" s="10" t="s">
        <v>32</v>
      </c>
    </row>
    <row r="11" spans="1:10" ht="15">
      <c r="A11" s="62" t="s">
        <v>16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 ht="12.75">
      <c r="A12" s="10" t="s">
        <v>310</v>
      </c>
      <c r="B12" s="10" t="s">
        <v>309</v>
      </c>
      <c r="C12" s="10" t="s">
        <v>308</v>
      </c>
      <c r="D12" s="11" t="str">
        <f>"0,5508"</f>
        <v>0,5508</v>
      </c>
      <c r="E12" s="10" t="s">
        <v>307</v>
      </c>
      <c r="F12" s="10" t="s">
        <v>136</v>
      </c>
      <c r="G12" s="12" t="s">
        <v>75</v>
      </c>
      <c r="H12" s="12" t="s">
        <v>71</v>
      </c>
      <c r="I12" s="13" t="s">
        <v>73</v>
      </c>
      <c r="J12" s="13"/>
      <c r="K12" s="14" t="str">
        <f>"70,0"</f>
        <v>70,0</v>
      </c>
      <c r="L12" s="15" t="str">
        <f>"39,2500"</f>
        <v>39,2500</v>
      </c>
      <c r="M12" s="10" t="s">
        <v>32</v>
      </c>
    </row>
    <row r="14" ht="15">
      <c r="E14" s="16" t="s">
        <v>33</v>
      </c>
    </row>
    <row r="15" ht="15">
      <c r="E15" s="16" t="s">
        <v>34</v>
      </c>
    </row>
    <row r="16" ht="15">
      <c r="E16" s="16" t="s">
        <v>35</v>
      </c>
    </row>
    <row r="17" ht="15">
      <c r="E17" s="16" t="s">
        <v>36</v>
      </c>
    </row>
    <row r="18" ht="15">
      <c r="E18" s="16" t="s">
        <v>36</v>
      </c>
    </row>
    <row r="19" ht="15">
      <c r="E19" s="16" t="s">
        <v>37</v>
      </c>
    </row>
    <row r="20" ht="15">
      <c r="E20" s="16"/>
    </row>
    <row r="22" spans="1:2" ht="18">
      <c r="A22" s="17" t="s">
        <v>38</v>
      </c>
      <c r="B22" s="17"/>
    </row>
    <row r="23" spans="1:2" ht="15">
      <c r="A23" s="18" t="s">
        <v>39</v>
      </c>
      <c r="B23" s="18"/>
    </row>
    <row r="24" spans="1:2" ht="14.25">
      <c r="A24" s="20"/>
      <c r="B24" s="21" t="s">
        <v>40</v>
      </c>
    </row>
    <row r="25" spans="1:5" ht="15">
      <c r="A25" s="22" t="s">
        <v>41</v>
      </c>
      <c r="B25" s="22" t="s">
        <v>42</v>
      </c>
      <c r="C25" s="22" t="s">
        <v>43</v>
      </c>
      <c r="D25" s="23" t="s">
        <v>188</v>
      </c>
      <c r="E25" s="22" t="s">
        <v>45</v>
      </c>
    </row>
    <row r="26" spans="1:5" ht="12.75">
      <c r="A26" s="19" t="s">
        <v>297</v>
      </c>
      <c r="B26" s="4" t="s">
        <v>40</v>
      </c>
      <c r="C26" s="4" t="s">
        <v>190</v>
      </c>
      <c r="D26" s="24">
        <v>72.5</v>
      </c>
      <c r="E26" s="25">
        <v>40.3462512791157</v>
      </c>
    </row>
    <row r="27" spans="1:5" ht="12.75">
      <c r="A27" s="19" t="s">
        <v>306</v>
      </c>
      <c r="B27" s="4" t="s">
        <v>40</v>
      </c>
      <c r="C27" s="4" t="s">
        <v>143</v>
      </c>
      <c r="D27" s="24">
        <v>50</v>
      </c>
      <c r="E27" s="25">
        <v>30.6349992752075</v>
      </c>
    </row>
    <row r="29" spans="1:2" ht="14.25">
      <c r="A29" s="20"/>
      <c r="B29" s="21" t="s">
        <v>144</v>
      </c>
    </row>
    <row r="30" spans="1:5" ht="15">
      <c r="A30" s="22" t="s">
        <v>41</v>
      </c>
      <c r="B30" s="22" t="s">
        <v>42</v>
      </c>
      <c r="C30" s="22" t="s">
        <v>43</v>
      </c>
      <c r="D30" s="23" t="s">
        <v>188</v>
      </c>
      <c r="E30" s="22" t="s">
        <v>45</v>
      </c>
    </row>
    <row r="31" spans="1:5" ht="12.75">
      <c r="A31" s="19" t="s">
        <v>305</v>
      </c>
      <c r="B31" s="4" t="s">
        <v>192</v>
      </c>
      <c r="C31" s="4" t="s">
        <v>46</v>
      </c>
      <c r="D31" s="24">
        <v>70</v>
      </c>
      <c r="E31" s="25">
        <v>39.2500098145008</v>
      </c>
    </row>
  </sheetData>
  <sheetProtection/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29.75390625" style="4" bestFit="1" customWidth="1"/>
    <col min="7" max="9" width="4.625" style="3" customWidth="1"/>
    <col min="10" max="10" width="4.875" style="3" customWidth="1"/>
    <col min="11" max="11" width="7.875" style="7" bestFit="1" customWidth="1"/>
    <col min="12" max="12" width="7.625" style="8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1" t="s">
        <v>332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302</v>
      </c>
      <c r="H3" s="56"/>
      <c r="I3" s="56"/>
      <c r="J3" s="56"/>
      <c r="K3" s="54" t="s">
        <v>194</v>
      </c>
      <c r="L3" s="54" t="s">
        <v>3</v>
      </c>
      <c r="M3" s="57" t="s">
        <v>2</v>
      </c>
    </row>
    <row r="4" spans="1:13" s="1" customFormat="1" ht="21" customHeight="1" thickBot="1">
      <c r="A4" s="51"/>
      <c r="B4" s="53"/>
      <c r="C4" s="53"/>
      <c r="D4" s="55"/>
      <c r="E4" s="53"/>
      <c r="F4" s="53"/>
      <c r="G4" s="44">
        <v>1</v>
      </c>
      <c r="H4" s="44">
        <v>2</v>
      </c>
      <c r="I4" s="44">
        <v>3</v>
      </c>
      <c r="J4" s="44" t="s">
        <v>5</v>
      </c>
      <c r="K4" s="55"/>
      <c r="L4" s="55"/>
      <c r="M4" s="58"/>
    </row>
    <row r="5" spans="1:10" ht="15">
      <c r="A5" s="59" t="s">
        <v>196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ht="12.75">
      <c r="A6" s="10" t="s">
        <v>289</v>
      </c>
      <c r="B6" s="10" t="s">
        <v>288</v>
      </c>
      <c r="C6" s="10" t="s">
        <v>287</v>
      </c>
      <c r="D6" s="11" t="str">
        <f>"0,9398"</f>
        <v>0,9398</v>
      </c>
      <c r="E6" s="10" t="s">
        <v>69</v>
      </c>
      <c r="F6" s="10" t="s">
        <v>222</v>
      </c>
      <c r="G6" s="12" t="s">
        <v>286</v>
      </c>
      <c r="H6" s="12" t="s">
        <v>93</v>
      </c>
      <c r="I6" s="13" t="s">
        <v>331</v>
      </c>
      <c r="J6" s="13"/>
      <c r="K6" s="14" t="str">
        <f>"30,0"</f>
        <v>30,0</v>
      </c>
      <c r="L6" s="15" t="str">
        <f>"28,1925"</f>
        <v>28,1925</v>
      </c>
      <c r="M6" s="10" t="s">
        <v>32</v>
      </c>
    </row>
    <row r="8" spans="1:10" ht="15">
      <c r="A8" s="62" t="s">
        <v>84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ht="12.75">
      <c r="A9" s="10" t="s">
        <v>98</v>
      </c>
      <c r="B9" s="10" t="s">
        <v>99</v>
      </c>
      <c r="C9" s="10" t="s">
        <v>100</v>
      </c>
      <c r="D9" s="11" t="str">
        <f>"0,7347"</f>
        <v>0,7347</v>
      </c>
      <c r="E9" s="10" t="s">
        <v>69</v>
      </c>
      <c r="F9" s="10" t="s">
        <v>101</v>
      </c>
      <c r="G9" s="12" t="s">
        <v>74</v>
      </c>
      <c r="H9" s="12" t="s">
        <v>75</v>
      </c>
      <c r="I9" s="13" t="s">
        <v>58</v>
      </c>
      <c r="J9" s="13"/>
      <c r="K9" s="14" t="str">
        <f>"50,0"</f>
        <v>50,0</v>
      </c>
      <c r="L9" s="15" t="str">
        <f>"41,5106"</f>
        <v>41,5106</v>
      </c>
      <c r="M9" s="10" t="s">
        <v>32</v>
      </c>
    </row>
    <row r="11" spans="1:10" ht="15">
      <c r="A11" s="62" t="s">
        <v>147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 ht="12.75">
      <c r="A12" s="26" t="s">
        <v>149</v>
      </c>
      <c r="B12" s="26" t="s">
        <v>150</v>
      </c>
      <c r="C12" s="26" t="s">
        <v>151</v>
      </c>
      <c r="D12" s="27" t="str">
        <f>"0,6730"</f>
        <v>0,6730</v>
      </c>
      <c r="E12" s="26" t="s">
        <v>69</v>
      </c>
      <c r="F12" s="26" t="s">
        <v>54</v>
      </c>
      <c r="G12" s="28" t="s">
        <v>75</v>
      </c>
      <c r="H12" s="28" t="s">
        <v>58</v>
      </c>
      <c r="I12" s="28" t="s">
        <v>59</v>
      </c>
      <c r="J12" s="29"/>
      <c r="K12" s="30" t="str">
        <f>"60,0"</f>
        <v>60,0</v>
      </c>
      <c r="L12" s="31" t="str">
        <f>"40,3800"</f>
        <v>40,3800</v>
      </c>
      <c r="M12" s="26" t="s">
        <v>32</v>
      </c>
    </row>
    <row r="13" spans="1:13" ht="12.75">
      <c r="A13" s="32" t="s">
        <v>330</v>
      </c>
      <c r="B13" s="32" t="s">
        <v>329</v>
      </c>
      <c r="C13" s="32" t="s">
        <v>328</v>
      </c>
      <c r="D13" s="33" t="str">
        <f>"0,6666"</f>
        <v>0,6666</v>
      </c>
      <c r="E13" s="32" t="s">
        <v>69</v>
      </c>
      <c r="F13" s="32" t="s">
        <v>327</v>
      </c>
      <c r="G13" s="35" t="s">
        <v>58</v>
      </c>
      <c r="H13" s="34" t="s">
        <v>58</v>
      </c>
      <c r="I13" s="35" t="s">
        <v>59</v>
      </c>
      <c r="J13" s="35"/>
      <c r="K13" s="36" t="str">
        <f>"55,0"</f>
        <v>55,0</v>
      </c>
      <c r="L13" s="37" t="str">
        <f>"36,6630"</f>
        <v>36,6630</v>
      </c>
      <c r="M13" s="32" t="s">
        <v>32</v>
      </c>
    </row>
    <row r="15" spans="1:10" ht="15">
      <c r="A15" s="62" t="s">
        <v>167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3" ht="12.75">
      <c r="A16" s="10" t="s">
        <v>326</v>
      </c>
      <c r="B16" s="10" t="s">
        <v>325</v>
      </c>
      <c r="C16" s="10" t="s">
        <v>324</v>
      </c>
      <c r="D16" s="11" t="str">
        <f>"0,6454"</f>
        <v>0,6454</v>
      </c>
      <c r="E16" s="10" t="s">
        <v>69</v>
      </c>
      <c r="F16" s="10" t="s">
        <v>54</v>
      </c>
      <c r="G16" s="12" t="s">
        <v>321</v>
      </c>
      <c r="H16" s="13" t="s">
        <v>83</v>
      </c>
      <c r="I16" s="13" t="s">
        <v>83</v>
      </c>
      <c r="J16" s="13"/>
      <c r="K16" s="14" t="str">
        <f>"57,5"</f>
        <v>57,5</v>
      </c>
      <c r="L16" s="15" t="str">
        <f>"47,5385"</f>
        <v>47,5385</v>
      </c>
      <c r="M16" s="10" t="s">
        <v>32</v>
      </c>
    </row>
    <row r="18" spans="1:10" ht="15">
      <c r="A18" s="62" t="s">
        <v>120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3" ht="12.75">
      <c r="A19" s="10" t="s">
        <v>323</v>
      </c>
      <c r="B19" s="10" t="s">
        <v>322</v>
      </c>
      <c r="C19" s="10" t="s">
        <v>134</v>
      </c>
      <c r="D19" s="11" t="str">
        <f>"0,5922"</f>
        <v>0,5922</v>
      </c>
      <c r="E19" s="10" t="s">
        <v>69</v>
      </c>
      <c r="F19" s="10" t="s">
        <v>54</v>
      </c>
      <c r="G19" s="12" t="s">
        <v>321</v>
      </c>
      <c r="H19" s="12" t="s">
        <v>320</v>
      </c>
      <c r="I19" s="13" t="s">
        <v>71</v>
      </c>
      <c r="J19" s="13"/>
      <c r="K19" s="14" t="str">
        <f>"65,0"</f>
        <v>65,0</v>
      </c>
      <c r="L19" s="15" t="str">
        <f>"38,4930"</f>
        <v>38,4930</v>
      </c>
      <c r="M19" s="10" t="s">
        <v>32</v>
      </c>
    </row>
    <row r="21" ht="15">
      <c r="E21" s="16" t="s">
        <v>33</v>
      </c>
    </row>
    <row r="22" ht="15">
      <c r="E22" s="16" t="s">
        <v>34</v>
      </c>
    </row>
    <row r="23" ht="15">
      <c r="E23" s="16" t="s">
        <v>35</v>
      </c>
    </row>
    <row r="24" ht="15">
      <c r="E24" s="16" t="s">
        <v>36</v>
      </c>
    </row>
    <row r="25" ht="15">
      <c r="E25" s="16" t="s">
        <v>36</v>
      </c>
    </row>
    <row r="26" ht="15">
      <c r="E26" s="16" t="s">
        <v>37</v>
      </c>
    </row>
    <row r="27" ht="15">
      <c r="E27" s="16"/>
    </row>
    <row r="29" spans="1:2" ht="18">
      <c r="A29" s="17" t="s">
        <v>38</v>
      </c>
      <c r="B29" s="17"/>
    </row>
    <row r="30" spans="1:2" ht="15">
      <c r="A30" s="18" t="s">
        <v>109</v>
      </c>
      <c r="B30" s="18"/>
    </row>
    <row r="31" spans="1:2" ht="14.25">
      <c r="A31" s="20"/>
      <c r="B31" s="21" t="s">
        <v>40</v>
      </c>
    </row>
    <row r="32" spans="1:5" ht="15">
      <c r="A32" s="22" t="s">
        <v>41</v>
      </c>
      <c r="B32" s="22" t="s">
        <v>42</v>
      </c>
      <c r="C32" s="22" t="s">
        <v>43</v>
      </c>
      <c r="D32" s="23" t="s">
        <v>188</v>
      </c>
      <c r="E32" s="22" t="s">
        <v>45</v>
      </c>
    </row>
    <row r="33" spans="1:5" ht="12.75">
      <c r="A33" s="19" t="s">
        <v>285</v>
      </c>
      <c r="B33" s="4" t="s">
        <v>40</v>
      </c>
      <c r="C33" s="4" t="s">
        <v>211</v>
      </c>
      <c r="D33" s="24">
        <v>30</v>
      </c>
      <c r="E33" s="25">
        <v>28.1925004720688</v>
      </c>
    </row>
    <row r="36" spans="1:2" ht="15">
      <c r="A36" s="18" t="s">
        <v>39</v>
      </c>
      <c r="B36" s="18"/>
    </row>
    <row r="37" spans="1:2" ht="14.25">
      <c r="A37" s="20"/>
      <c r="B37" s="21" t="s">
        <v>117</v>
      </c>
    </row>
    <row r="38" spans="1:5" ht="15">
      <c r="A38" s="22" t="s">
        <v>41</v>
      </c>
      <c r="B38" s="22" t="s">
        <v>42</v>
      </c>
      <c r="C38" s="22" t="s">
        <v>43</v>
      </c>
      <c r="D38" s="23" t="s">
        <v>188</v>
      </c>
      <c r="E38" s="22" t="s">
        <v>45</v>
      </c>
    </row>
    <row r="39" spans="1:5" ht="12.75">
      <c r="A39" s="19" t="s">
        <v>97</v>
      </c>
      <c r="B39" s="4" t="s">
        <v>118</v>
      </c>
      <c r="C39" s="4" t="s">
        <v>115</v>
      </c>
      <c r="D39" s="24">
        <v>50</v>
      </c>
      <c r="E39" s="25">
        <v>41.5105513632298</v>
      </c>
    </row>
    <row r="41" spans="1:2" ht="14.25">
      <c r="A41" s="20"/>
      <c r="B41" s="21" t="s">
        <v>189</v>
      </c>
    </row>
    <row r="42" spans="1:5" ht="15">
      <c r="A42" s="22" t="s">
        <v>41</v>
      </c>
      <c r="B42" s="22" t="s">
        <v>42</v>
      </c>
      <c r="C42" s="22" t="s">
        <v>43</v>
      </c>
      <c r="D42" s="23" t="s">
        <v>188</v>
      </c>
      <c r="E42" s="22" t="s">
        <v>45</v>
      </c>
    </row>
    <row r="43" spans="1:5" ht="12.75">
      <c r="A43" s="19" t="s">
        <v>148</v>
      </c>
      <c r="B43" s="4" t="s">
        <v>114</v>
      </c>
      <c r="C43" s="4" t="s">
        <v>191</v>
      </c>
      <c r="D43" s="24">
        <v>60</v>
      </c>
      <c r="E43" s="25">
        <v>40.3799986839294</v>
      </c>
    </row>
    <row r="45" spans="1:2" ht="14.25">
      <c r="A45" s="20"/>
      <c r="B45" s="21" t="s">
        <v>40</v>
      </c>
    </row>
    <row r="46" spans="1:5" ht="15">
      <c r="A46" s="22" t="s">
        <v>41</v>
      </c>
      <c r="B46" s="22" t="s">
        <v>42</v>
      </c>
      <c r="C46" s="22" t="s">
        <v>43</v>
      </c>
      <c r="D46" s="23" t="s">
        <v>188</v>
      </c>
      <c r="E46" s="22" t="s">
        <v>45</v>
      </c>
    </row>
    <row r="47" spans="1:5" ht="12.75">
      <c r="A47" s="19" t="s">
        <v>319</v>
      </c>
      <c r="B47" s="4" t="s">
        <v>40</v>
      </c>
      <c r="C47" s="4" t="s">
        <v>143</v>
      </c>
      <c r="D47" s="24">
        <v>65</v>
      </c>
      <c r="E47" s="25">
        <v>38.49299877882</v>
      </c>
    </row>
    <row r="48" spans="1:5" ht="12.75">
      <c r="A48" s="19" t="s">
        <v>318</v>
      </c>
      <c r="B48" s="4" t="s">
        <v>40</v>
      </c>
      <c r="C48" s="4" t="s">
        <v>191</v>
      </c>
      <c r="D48" s="24">
        <v>55</v>
      </c>
      <c r="E48" s="25">
        <v>36.6629993915558</v>
      </c>
    </row>
    <row r="50" spans="1:2" ht="14.25">
      <c r="A50" s="20"/>
      <c r="B50" s="21" t="s">
        <v>144</v>
      </c>
    </row>
    <row r="51" spans="1:5" ht="15">
      <c r="A51" s="22" t="s">
        <v>41</v>
      </c>
      <c r="B51" s="22" t="s">
        <v>42</v>
      </c>
      <c r="C51" s="22" t="s">
        <v>43</v>
      </c>
      <c r="D51" s="23" t="s">
        <v>188</v>
      </c>
      <c r="E51" s="22" t="s">
        <v>45</v>
      </c>
    </row>
    <row r="52" spans="1:5" ht="12.75">
      <c r="A52" s="19" t="s">
        <v>317</v>
      </c>
      <c r="B52" s="4" t="s">
        <v>316</v>
      </c>
      <c r="C52" s="4" t="s">
        <v>193</v>
      </c>
      <c r="D52" s="24">
        <v>57.5</v>
      </c>
      <c r="E52" s="25">
        <v>47.5385495938361</v>
      </c>
    </row>
  </sheetData>
  <sheetProtection/>
  <mergeCells count="16">
    <mergeCell ref="G3:J3"/>
    <mergeCell ref="A8:J8"/>
    <mergeCell ref="A11:J11"/>
    <mergeCell ref="A15:J15"/>
    <mergeCell ref="A18:J1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29.75390625" style="4" bestFit="1" customWidth="1"/>
    <col min="7" max="7" width="4.625" style="3" customWidth="1"/>
    <col min="8" max="9" width="5.625" style="3" customWidth="1"/>
    <col min="10" max="10" width="4.875" style="3" customWidth="1"/>
    <col min="11" max="11" width="7.875" style="7" bestFit="1" customWidth="1"/>
    <col min="12" max="12" width="7.625" style="8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1" t="s">
        <v>333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303</v>
      </c>
      <c r="H3" s="56"/>
      <c r="I3" s="56"/>
      <c r="J3" s="56"/>
      <c r="K3" s="54" t="s">
        <v>194</v>
      </c>
      <c r="L3" s="54" t="s">
        <v>3</v>
      </c>
      <c r="M3" s="57" t="s">
        <v>2</v>
      </c>
    </row>
    <row r="4" spans="1:13" s="1" customFormat="1" ht="21" customHeight="1" thickBot="1">
      <c r="A4" s="51"/>
      <c r="B4" s="53"/>
      <c r="C4" s="53"/>
      <c r="D4" s="55"/>
      <c r="E4" s="53"/>
      <c r="F4" s="53"/>
      <c r="G4" s="44">
        <v>1</v>
      </c>
      <c r="H4" s="44">
        <v>2</v>
      </c>
      <c r="I4" s="44">
        <v>3</v>
      </c>
      <c r="J4" s="44" t="s">
        <v>5</v>
      </c>
      <c r="K4" s="55"/>
      <c r="L4" s="55"/>
      <c r="M4" s="58"/>
    </row>
    <row r="5" spans="1:10" ht="15">
      <c r="A5" s="59" t="s">
        <v>181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ht="12.75">
      <c r="A6" s="10" t="s">
        <v>301</v>
      </c>
      <c r="B6" s="10" t="s">
        <v>300</v>
      </c>
      <c r="C6" s="10" t="s">
        <v>299</v>
      </c>
      <c r="D6" s="11" t="str">
        <f>"0,5565"</f>
        <v>0,5565</v>
      </c>
      <c r="E6" s="10" t="s">
        <v>69</v>
      </c>
      <c r="F6" s="10" t="s">
        <v>54</v>
      </c>
      <c r="G6" s="12" t="s">
        <v>56</v>
      </c>
      <c r="H6" s="12" t="s">
        <v>90</v>
      </c>
      <c r="I6" s="13" t="s">
        <v>105</v>
      </c>
      <c r="J6" s="13"/>
      <c r="K6" s="14" t="str">
        <f>"100,0"</f>
        <v>100,0</v>
      </c>
      <c r="L6" s="15" t="str">
        <f>"55,6500"</f>
        <v>55,6500</v>
      </c>
      <c r="M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40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188</v>
      </c>
      <c r="E19" s="22" t="s">
        <v>45</v>
      </c>
    </row>
    <row r="20" spans="1:5" ht="12.75">
      <c r="A20" s="19" t="s">
        <v>297</v>
      </c>
      <c r="B20" s="4" t="s">
        <v>40</v>
      </c>
      <c r="C20" s="4" t="s">
        <v>190</v>
      </c>
      <c r="D20" s="24">
        <v>100</v>
      </c>
      <c r="E20" s="25">
        <v>55.6500017642975</v>
      </c>
    </row>
  </sheetData>
  <sheetProtection/>
  <mergeCells count="12">
    <mergeCell ref="F3:F4"/>
    <mergeCell ref="G3:J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2.625" style="4" bestFit="1" customWidth="1"/>
    <col min="7" max="7" width="5.625" style="3" customWidth="1"/>
    <col min="8" max="8" width="10.375" style="3" customWidth="1"/>
    <col min="9" max="9" width="7.875" style="7" bestFit="1" customWidth="1"/>
    <col min="10" max="10" width="7.625" style="8" bestFit="1" customWidth="1"/>
    <col min="11" max="11" width="10.625" style="4" bestFit="1" customWidth="1"/>
    <col min="12" max="16384" width="9.125" style="3" customWidth="1"/>
  </cols>
  <sheetData>
    <row r="1" spans="1:11" s="2" customFormat="1" ht="28.5" customHeight="1">
      <c r="A1" s="61" t="s">
        <v>341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340</v>
      </c>
      <c r="E3" s="56" t="s">
        <v>4</v>
      </c>
      <c r="F3" s="56" t="s">
        <v>7</v>
      </c>
      <c r="G3" s="56" t="s">
        <v>339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338</v>
      </c>
      <c r="B5" s="60"/>
      <c r="C5" s="60"/>
      <c r="D5" s="60"/>
      <c r="E5" s="60"/>
      <c r="F5" s="60"/>
      <c r="G5" s="60"/>
      <c r="H5" s="60"/>
    </row>
    <row r="6" spans="1:11" ht="12.75">
      <c r="A6" s="26" t="s">
        <v>234</v>
      </c>
      <c r="B6" s="26" t="s">
        <v>235</v>
      </c>
      <c r="C6" s="26" t="s">
        <v>236</v>
      </c>
      <c r="D6" s="27" t="str">
        <f>"1,0000"</f>
        <v>1,0000</v>
      </c>
      <c r="E6" s="26" t="s">
        <v>237</v>
      </c>
      <c r="F6" s="26" t="s">
        <v>238</v>
      </c>
      <c r="G6" s="28" t="s">
        <v>210</v>
      </c>
      <c r="H6" s="28" t="s">
        <v>336</v>
      </c>
      <c r="I6" s="30" t="str">
        <f>"1600,0"</f>
        <v>1600,0</v>
      </c>
      <c r="J6" s="31" t="str">
        <f>"22,1914"</f>
        <v>22,1914</v>
      </c>
      <c r="K6" s="26" t="s">
        <v>241</v>
      </c>
    </row>
    <row r="7" spans="1:11" ht="12.75">
      <c r="A7" s="32" t="s">
        <v>234</v>
      </c>
      <c r="B7" s="32" t="s">
        <v>337</v>
      </c>
      <c r="C7" s="32" t="s">
        <v>236</v>
      </c>
      <c r="D7" s="33" t="str">
        <f>"1,0000"</f>
        <v>1,0000</v>
      </c>
      <c r="E7" s="32" t="s">
        <v>237</v>
      </c>
      <c r="F7" s="32" t="s">
        <v>238</v>
      </c>
      <c r="G7" s="34" t="s">
        <v>210</v>
      </c>
      <c r="H7" s="34" t="s">
        <v>336</v>
      </c>
      <c r="I7" s="36" t="str">
        <f>"1600,0"</f>
        <v>1600,0</v>
      </c>
      <c r="J7" s="37" t="str">
        <f>"22,1914"</f>
        <v>22,1914</v>
      </c>
      <c r="K7" s="32" t="s">
        <v>241</v>
      </c>
    </row>
    <row r="9" ht="15">
      <c r="E9" s="16" t="s">
        <v>33</v>
      </c>
    </row>
    <row r="10" ht="15">
      <c r="E10" s="16" t="s">
        <v>34</v>
      </c>
    </row>
    <row r="11" ht="15">
      <c r="E11" s="16" t="s">
        <v>35</v>
      </c>
    </row>
    <row r="12" ht="15">
      <c r="E12" s="16" t="s">
        <v>36</v>
      </c>
    </row>
    <row r="13" ht="15">
      <c r="E13" s="16" t="s">
        <v>36</v>
      </c>
    </row>
    <row r="14" ht="15">
      <c r="E14" s="16" t="s">
        <v>37</v>
      </c>
    </row>
    <row r="15" ht="15">
      <c r="E15" s="16"/>
    </row>
    <row r="17" spans="1:2" ht="18">
      <c r="A17" s="17" t="s">
        <v>38</v>
      </c>
      <c r="B17" s="17"/>
    </row>
    <row r="18" spans="1:2" ht="15">
      <c r="A18" s="18" t="s">
        <v>39</v>
      </c>
      <c r="B18" s="18"/>
    </row>
    <row r="19" spans="1:2" ht="14.25">
      <c r="A19" s="20"/>
      <c r="B19" s="21" t="s">
        <v>40</v>
      </c>
    </row>
    <row r="20" spans="1:5" ht="15">
      <c r="A20" s="22" t="s">
        <v>41</v>
      </c>
      <c r="B20" s="22" t="s">
        <v>42</v>
      </c>
      <c r="C20" s="22" t="s">
        <v>43</v>
      </c>
      <c r="D20" s="23" t="s">
        <v>188</v>
      </c>
      <c r="E20" s="22" t="s">
        <v>335</v>
      </c>
    </row>
    <row r="21" spans="1:5" ht="12.75">
      <c r="A21" s="19" t="s">
        <v>233</v>
      </c>
      <c r="B21" s="4" t="s">
        <v>40</v>
      </c>
      <c r="C21" s="4" t="s">
        <v>334</v>
      </c>
      <c r="D21" s="24">
        <v>1600</v>
      </c>
      <c r="E21" s="25">
        <v>22.1914</v>
      </c>
    </row>
    <row r="23" spans="1:2" ht="14.25">
      <c r="A23" s="20"/>
      <c r="B23" s="21" t="s">
        <v>144</v>
      </c>
    </row>
    <row r="24" spans="1:5" ht="15">
      <c r="A24" s="22" t="s">
        <v>41</v>
      </c>
      <c r="B24" s="22" t="s">
        <v>42</v>
      </c>
      <c r="C24" s="22" t="s">
        <v>43</v>
      </c>
      <c r="D24" s="23" t="s">
        <v>188</v>
      </c>
      <c r="E24" s="22" t="s">
        <v>335</v>
      </c>
    </row>
    <row r="25" spans="1:5" ht="12.75">
      <c r="A25" s="19" t="s">
        <v>233</v>
      </c>
      <c r="B25" s="4" t="s">
        <v>316</v>
      </c>
      <c r="C25" s="4" t="s">
        <v>334</v>
      </c>
      <c r="D25" s="24">
        <v>1600</v>
      </c>
      <c r="E25" s="25">
        <v>22.1914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29.75390625" style="4" bestFit="1" customWidth="1"/>
    <col min="7" max="9" width="5.625" style="3" customWidth="1"/>
    <col min="10" max="10" width="4.875" style="3" customWidth="1"/>
    <col min="11" max="11" width="7.875" style="7" bestFit="1" customWidth="1"/>
    <col min="12" max="12" width="7.625" style="8" bestFit="1" customWidth="1"/>
    <col min="13" max="13" width="12.125" style="4" bestFit="1" customWidth="1"/>
    <col min="14" max="16384" width="9.125" style="3" customWidth="1"/>
  </cols>
  <sheetData>
    <row r="1" spans="1:13" s="2" customFormat="1" ht="28.5" customHeight="1">
      <c r="A1" s="61" t="s">
        <v>260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13</v>
      </c>
      <c r="H3" s="56"/>
      <c r="I3" s="56"/>
      <c r="J3" s="56"/>
      <c r="K3" s="54" t="s">
        <v>194</v>
      </c>
      <c r="L3" s="54" t="s">
        <v>3</v>
      </c>
      <c r="M3" s="57" t="s">
        <v>2</v>
      </c>
    </row>
    <row r="4" spans="1:13" s="1" customFormat="1" ht="21" customHeight="1" thickBot="1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0" ht="15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ht="12.75">
      <c r="A6" s="10" t="s">
        <v>50</v>
      </c>
      <c r="B6" s="10" t="s">
        <v>51</v>
      </c>
      <c r="C6" s="10" t="s">
        <v>52</v>
      </c>
      <c r="D6" s="11" t="str">
        <f>"0,9801"</f>
        <v>0,9801</v>
      </c>
      <c r="E6" s="10" t="s">
        <v>53</v>
      </c>
      <c r="F6" s="10" t="s">
        <v>54</v>
      </c>
      <c r="G6" s="12" t="s">
        <v>55</v>
      </c>
      <c r="H6" s="12" t="s">
        <v>56</v>
      </c>
      <c r="I6" s="12" t="s">
        <v>57</v>
      </c>
      <c r="J6" s="13"/>
      <c r="K6" s="14" t="str">
        <f>"95,0"</f>
        <v>95,0</v>
      </c>
      <c r="L6" s="15" t="str">
        <f>"93,1095"</f>
        <v>93,1095</v>
      </c>
      <c r="M6" s="10" t="s">
        <v>63</v>
      </c>
    </row>
    <row r="8" spans="1:10" ht="15">
      <c r="A8" s="62" t="s">
        <v>84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ht="12.75">
      <c r="A9" s="10" t="s">
        <v>86</v>
      </c>
      <c r="B9" s="10" t="s">
        <v>87</v>
      </c>
      <c r="C9" s="10" t="s">
        <v>88</v>
      </c>
      <c r="D9" s="11" t="str">
        <f>"0,7862"</f>
        <v>0,7862</v>
      </c>
      <c r="E9" s="10" t="s">
        <v>89</v>
      </c>
      <c r="F9" s="10" t="s">
        <v>54</v>
      </c>
      <c r="G9" s="12" t="s">
        <v>90</v>
      </c>
      <c r="H9" s="12" t="s">
        <v>91</v>
      </c>
      <c r="I9" s="13" t="s">
        <v>92</v>
      </c>
      <c r="J9" s="13"/>
      <c r="K9" s="14" t="str">
        <f>"105,0"</f>
        <v>105,0</v>
      </c>
      <c r="L9" s="15" t="str">
        <f>"83,3765"</f>
        <v>83,3765</v>
      </c>
      <c r="M9" s="10" t="s">
        <v>96</v>
      </c>
    </row>
    <row r="11" ht="15">
      <c r="E11" s="16" t="s">
        <v>33</v>
      </c>
    </row>
    <row r="12" ht="15">
      <c r="E12" s="16" t="s">
        <v>34</v>
      </c>
    </row>
    <row r="13" ht="15">
      <c r="E13" s="16" t="s">
        <v>35</v>
      </c>
    </row>
    <row r="14" ht="15">
      <c r="E14" s="16" t="s">
        <v>36</v>
      </c>
    </row>
    <row r="15" ht="15">
      <c r="E15" s="16" t="s">
        <v>36</v>
      </c>
    </row>
    <row r="16" ht="15">
      <c r="E16" s="16" t="s">
        <v>37</v>
      </c>
    </row>
    <row r="17" ht="15">
      <c r="E17" s="16"/>
    </row>
    <row r="19" spans="1:2" ht="18">
      <c r="A19" s="17" t="s">
        <v>38</v>
      </c>
      <c r="B19" s="17"/>
    </row>
    <row r="20" spans="1:2" ht="15">
      <c r="A20" s="18" t="s">
        <v>109</v>
      </c>
      <c r="B20" s="18"/>
    </row>
    <row r="21" spans="1:2" ht="14.25">
      <c r="A21" s="20"/>
      <c r="B21" s="21" t="s">
        <v>113</v>
      </c>
    </row>
    <row r="22" spans="1:5" ht="15">
      <c r="A22" s="22" t="s">
        <v>41</v>
      </c>
      <c r="B22" s="22" t="s">
        <v>42</v>
      </c>
      <c r="C22" s="22" t="s">
        <v>43</v>
      </c>
      <c r="D22" s="23" t="s">
        <v>188</v>
      </c>
      <c r="E22" s="22" t="s">
        <v>45</v>
      </c>
    </row>
    <row r="23" spans="1:5" ht="12.75">
      <c r="A23" s="19" t="s">
        <v>85</v>
      </c>
      <c r="B23" s="4" t="s">
        <v>114</v>
      </c>
      <c r="C23" s="4" t="s">
        <v>115</v>
      </c>
      <c r="D23" s="24">
        <v>105</v>
      </c>
      <c r="E23" s="25">
        <v>83.3765086144209</v>
      </c>
    </row>
    <row r="25" spans="1:2" ht="14.25">
      <c r="A25" s="20"/>
      <c r="B25" s="21" t="s">
        <v>40</v>
      </c>
    </row>
    <row r="26" spans="1:5" ht="15">
      <c r="A26" s="22" t="s">
        <v>41</v>
      </c>
      <c r="B26" s="22" t="s">
        <v>42</v>
      </c>
      <c r="C26" s="22" t="s">
        <v>43</v>
      </c>
      <c r="D26" s="23" t="s">
        <v>188</v>
      </c>
      <c r="E26" s="22" t="s">
        <v>45</v>
      </c>
    </row>
    <row r="27" spans="1:5" ht="12.75">
      <c r="A27" s="19" t="s">
        <v>49</v>
      </c>
      <c r="B27" s="4" t="s">
        <v>40</v>
      </c>
      <c r="C27" s="4" t="s">
        <v>116</v>
      </c>
      <c r="D27" s="24">
        <v>95</v>
      </c>
      <c r="E27" s="25">
        <v>93.1094977259636</v>
      </c>
    </row>
  </sheetData>
  <sheetProtection/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1.125" style="4" bestFit="1" customWidth="1"/>
    <col min="7" max="7" width="5.625" style="3" customWidth="1"/>
    <col min="8" max="8" width="10.375" style="3" customWidth="1"/>
    <col min="9" max="9" width="7.875" style="7" bestFit="1" customWidth="1"/>
    <col min="10" max="10" width="7.625" style="8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1" t="s">
        <v>342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340</v>
      </c>
      <c r="E3" s="56" t="s">
        <v>4</v>
      </c>
      <c r="F3" s="56" t="s">
        <v>7</v>
      </c>
      <c r="G3" s="56" t="s">
        <v>339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338</v>
      </c>
      <c r="B5" s="60"/>
      <c r="C5" s="60"/>
      <c r="D5" s="60"/>
      <c r="E5" s="60"/>
      <c r="F5" s="60"/>
      <c r="G5" s="60"/>
      <c r="H5" s="60"/>
    </row>
    <row r="6" spans="1:11" ht="12.75">
      <c r="A6" s="10" t="s">
        <v>310</v>
      </c>
      <c r="B6" s="10" t="s">
        <v>309</v>
      </c>
      <c r="C6" s="10" t="s">
        <v>308</v>
      </c>
      <c r="D6" s="11" t="str">
        <f>"1,0000"</f>
        <v>1,0000</v>
      </c>
      <c r="E6" s="10" t="s">
        <v>307</v>
      </c>
      <c r="F6" s="10" t="s">
        <v>136</v>
      </c>
      <c r="G6" s="12" t="s">
        <v>139</v>
      </c>
      <c r="H6" s="12" t="s">
        <v>336</v>
      </c>
      <c r="I6" s="14" t="str">
        <f>"1200,0"</f>
        <v>1200,0</v>
      </c>
      <c r="J6" s="15" t="str">
        <f>"11,8343"</f>
        <v>11,8343</v>
      </c>
      <c r="K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144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188</v>
      </c>
      <c r="E19" s="22" t="s">
        <v>335</v>
      </c>
    </row>
    <row r="20" spans="1:5" ht="12.75">
      <c r="A20" s="19" t="s">
        <v>305</v>
      </c>
      <c r="B20" s="4" t="s">
        <v>192</v>
      </c>
      <c r="C20" s="4" t="s">
        <v>334</v>
      </c>
      <c r="D20" s="24">
        <v>1200</v>
      </c>
      <c r="E20" s="25">
        <v>11.8343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29.75390625" style="4" bestFit="1" customWidth="1"/>
    <col min="7" max="7" width="5.625" style="3" customWidth="1"/>
    <col min="8" max="8" width="10.375" style="3" customWidth="1"/>
    <col min="9" max="9" width="7.875" style="7" bestFit="1" customWidth="1"/>
    <col min="10" max="10" width="7.625" style="8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1" t="s">
        <v>348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340</v>
      </c>
      <c r="E3" s="56" t="s">
        <v>4</v>
      </c>
      <c r="F3" s="56" t="s">
        <v>7</v>
      </c>
      <c r="G3" s="56" t="s">
        <v>339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338</v>
      </c>
      <c r="B5" s="60"/>
      <c r="C5" s="60"/>
      <c r="D5" s="60"/>
      <c r="E5" s="60"/>
      <c r="F5" s="60"/>
      <c r="G5" s="60"/>
      <c r="H5" s="60"/>
    </row>
    <row r="6" spans="1:11" ht="12.75">
      <c r="A6" s="10" t="s">
        <v>347</v>
      </c>
      <c r="B6" s="10" t="s">
        <v>346</v>
      </c>
      <c r="C6" s="10" t="s">
        <v>345</v>
      </c>
      <c r="D6" s="11" t="str">
        <f>"1,0000"</f>
        <v>1,0000</v>
      </c>
      <c r="E6" s="10" t="s">
        <v>69</v>
      </c>
      <c r="F6" s="10" t="s">
        <v>54</v>
      </c>
      <c r="G6" s="12" t="s">
        <v>139</v>
      </c>
      <c r="H6" s="12" t="s">
        <v>344</v>
      </c>
      <c r="I6" s="14" t="str">
        <f>"2700,0"</f>
        <v>2700,0</v>
      </c>
      <c r="J6" s="15" t="str">
        <f>"30,3370"</f>
        <v>30,3370</v>
      </c>
      <c r="K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40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188</v>
      </c>
      <c r="E19" s="22" t="s">
        <v>335</v>
      </c>
    </row>
    <row r="20" spans="1:5" ht="12.75">
      <c r="A20" s="19" t="s">
        <v>343</v>
      </c>
      <c r="B20" s="4" t="s">
        <v>40</v>
      </c>
      <c r="C20" s="4" t="s">
        <v>334</v>
      </c>
      <c r="D20" s="24">
        <v>2700</v>
      </c>
      <c r="E20" s="25">
        <v>30.337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2.625" style="4" bestFit="1" customWidth="1"/>
    <col min="7" max="7" width="5.625" style="3" customWidth="1"/>
    <col min="8" max="8" width="10.375" style="3" customWidth="1"/>
    <col min="9" max="9" width="7.875" style="7" bestFit="1" customWidth="1"/>
    <col min="10" max="10" width="7.625" style="8" bestFit="1" customWidth="1"/>
    <col min="11" max="11" width="14.375" style="4" bestFit="1" customWidth="1"/>
    <col min="12" max="16384" width="9.125" style="3" customWidth="1"/>
  </cols>
  <sheetData>
    <row r="1" spans="1:11" s="2" customFormat="1" ht="28.5" customHeight="1">
      <c r="A1" s="61" t="s">
        <v>355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340</v>
      </c>
      <c r="E3" s="56" t="s">
        <v>4</v>
      </c>
      <c r="F3" s="56" t="s">
        <v>7</v>
      </c>
      <c r="G3" s="56" t="s">
        <v>339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338</v>
      </c>
      <c r="B5" s="60"/>
      <c r="C5" s="60"/>
      <c r="D5" s="60"/>
      <c r="E5" s="60"/>
      <c r="F5" s="60"/>
      <c r="G5" s="60"/>
      <c r="H5" s="60"/>
    </row>
    <row r="6" spans="1:11" ht="12.75">
      <c r="A6" s="10" t="s">
        <v>354</v>
      </c>
      <c r="B6" s="10" t="s">
        <v>353</v>
      </c>
      <c r="C6" s="10" t="s">
        <v>352</v>
      </c>
      <c r="D6" s="11" t="str">
        <f>"1,0000"</f>
        <v>1,0000</v>
      </c>
      <c r="E6" s="10" t="s">
        <v>237</v>
      </c>
      <c r="F6" s="10" t="s">
        <v>238</v>
      </c>
      <c r="G6" s="12" t="s">
        <v>90</v>
      </c>
      <c r="H6" s="12" t="s">
        <v>351</v>
      </c>
      <c r="I6" s="14" t="str">
        <f>"2300,0"</f>
        <v>2300,0</v>
      </c>
      <c r="J6" s="15" t="str">
        <f>"32,8102"</f>
        <v>32,8102</v>
      </c>
      <c r="K6" s="10" t="s">
        <v>350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117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188</v>
      </c>
      <c r="E19" s="22" t="s">
        <v>335</v>
      </c>
    </row>
    <row r="20" spans="1:5" ht="12.75">
      <c r="A20" s="19" t="s">
        <v>349</v>
      </c>
      <c r="B20" s="4" t="s">
        <v>118</v>
      </c>
      <c r="C20" s="4" t="s">
        <v>334</v>
      </c>
      <c r="D20" s="24">
        <v>2300</v>
      </c>
      <c r="E20" s="25">
        <v>32.8102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29.75390625" style="4" bestFit="1" customWidth="1"/>
    <col min="7" max="7" width="5.00390625" style="3" customWidth="1"/>
    <col min="8" max="8" width="10.375" style="3" customWidth="1"/>
    <col min="9" max="9" width="7.875" style="7" bestFit="1" customWidth="1"/>
    <col min="10" max="10" width="7.625" style="8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1" t="s">
        <v>362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340</v>
      </c>
      <c r="E3" s="56" t="s">
        <v>4</v>
      </c>
      <c r="F3" s="56" t="s">
        <v>7</v>
      </c>
      <c r="G3" s="56" t="s">
        <v>339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338</v>
      </c>
      <c r="B5" s="60"/>
      <c r="C5" s="60"/>
      <c r="D5" s="60"/>
      <c r="E5" s="60"/>
      <c r="F5" s="60"/>
      <c r="G5" s="60"/>
      <c r="H5" s="60"/>
    </row>
    <row r="6" spans="1:11" ht="12.75">
      <c r="A6" s="10" t="s">
        <v>361</v>
      </c>
      <c r="B6" s="10" t="s">
        <v>360</v>
      </c>
      <c r="C6" s="10" t="s">
        <v>359</v>
      </c>
      <c r="D6" s="11" t="str">
        <f>"1,0000"</f>
        <v>1,0000</v>
      </c>
      <c r="E6" s="10" t="s">
        <v>53</v>
      </c>
      <c r="F6" s="10" t="s">
        <v>54</v>
      </c>
      <c r="G6" s="12" t="s">
        <v>72</v>
      </c>
      <c r="H6" s="12" t="s">
        <v>358</v>
      </c>
      <c r="I6" s="14" t="str">
        <f>"2325,0"</f>
        <v>2325,0</v>
      </c>
      <c r="J6" s="15" t="str">
        <f>"41,7414"</f>
        <v>41,7414</v>
      </c>
      <c r="K6" s="10" t="s">
        <v>357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109</v>
      </c>
      <c r="B17" s="18"/>
    </row>
    <row r="18" spans="1:2" ht="14.25">
      <c r="A18" s="20"/>
      <c r="B18" s="21" t="s">
        <v>40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188</v>
      </c>
      <c r="E19" s="22" t="s">
        <v>335</v>
      </c>
    </row>
    <row r="20" spans="1:5" ht="12.75">
      <c r="A20" s="19" t="s">
        <v>356</v>
      </c>
      <c r="B20" s="4" t="s">
        <v>40</v>
      </c>
      <c r="C20" s="4" t="s">
        <v>334</v>
      </c>
      <c r="D20" s="24">
        <v>2325</v>
      </c>
      <c r="E20" s="25">
        <v>41.7414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0.875" style="4" bestFit="1" customWidth="1"/>
    <col min="7" max="7" width="5.00390625" style="3" customWidth="1"/>
    <col min="8" max="8" width="10.375" style="3" customWidth="1"/>
    <col min="9" max="9" width="7.875" style="7" bestFit="1" customWidth="1"/>
    <col min="10" max="10" width="7.625" style="8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1" t="s">
        <v>363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340</v>
      </c>
      <c r="E3" s="56" t="s">
        <v>4</v>
      </c>
      <c r="F3" s="56" t="s">
        <v>7</v>
      </c>
      <c r="G3" s="56" t="s">
        <v>339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338</v>
      </c>
      <c r="B5" s="60"/>
      <c r="C5" s="60"/>
      <c r="D5" s="60"/>
      <c r="E5" s="60"/>
      <c r="F5" s="60"/>
      <c r="G5" s="60"/>
      <c r="H5" s="60"/>
    </row>
    <row r="6" spans="1:11" ht="12.75">
      <c r="A6" s="10" t="s">
        <v>294</v>
      </c>
      <c r="B6" s="10" t="s">
        <v>293</v>
      </c>
      <c r="C6" s="10" t="s">
        <v>292</v>
      </c>
      <c r="D6" s="11" t="str">
        <f>"1,0000"</f>
        <v>1,0000</v>
      </c>
      <c r="E6" s="10" t="s">
        <v>69</v>
      </c>
      <c r="F6" s="10" t="s">
        <v>291</v>
      </c>
      <c r="G6" s="12" t="s">
        <v>58</v>
      </c>
      <c r="H6" s="12" t="s">
        <v>74</v>
      </c>
      <c r="I6" s="14" t="str">
        <f>"2475,0"</f>
        <v>2475,0</v>
      </c>
      <c r="J6" s="15" t="str">
        <f>"55,0000"</f>
        <v>55,0000</v>
      </c>
      <c r="K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109</v>
      </c>
      <c r="B17" s="18"/>
    </row>
    <row r="18" spans="1:2" ht="14.25">
      <c r="A18" s="20"/>
      <c r="B18" s="21" t="s">
        <v>40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188</v>
      </c>
      <c r="E19" s="22" t="s">
        <v>335</v>
      </c>
    </row>
    <row r="20" spans="1:5" ht="12.75">
      <c r="A20" s="19" t="s">
        <v>284</v>
      </c>
      <c r="B20" s="4" t="s">
        <v>40</v>
      </c>
      <c r="C20" s="4" t="s">
        <v>334</v>
      </c>
      <c r="D20" s="24">
        <v>2475</v>
      </c>
      <c r="E20" s="25">
        <v>55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2.00390625" style="4" bestFit="1" customWidth="1"/>
    <col min="7" max="7" width="5.00390625" style="3" customWidth="1"/>
    <col min="8" max="8" width="10.375" style="3" customWidth="1"/>
    <col min="9" max="9" width="7.875" style="7" bestFit="1" customWidth="1"/>
    <col min="10" max="10" width="7.625" style="8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1" t="s">
        <v>372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340</v>
      </c>
      <c r="E3" s="56" t="s">
        <v>4</v>
      </c>
      <c r="F3" s="56" t="s">
        <v>7</v>
      </c>
      <c r="G3" s="56" t="s">
        <v>371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338</v>
      </c>
      <c r="B5" s="60"/>
      <c r="C5" s="60"/>
      <c r="D5" s="60"/>
      <c r="E5" s="60"/>
      <c r="F5" s="60"/>
      <c r="G5" s="60"/>
      <c r="H5" s="60"/>
    </row>
    <row r="6" spans="1:11" ht="12.75">
      <c r="A6" s="26" t="s">
        <v>314</v>
      </c>
      <c r="B6" s="26" t="s">
        <v>313</v>
      </c>
      <c r="C6" s="26" t="s">
        <v>312</v>
      </c>
      <c r="D6" s="27" t="str">
        <f>"1,0000"</f>
        <v>1,0000</v>
      </c>
      <c r="E6" s="26" t="s">
        <v>69</v>
      </c>
      <c r="F6" s="26" t="s">
        <v>311</v>
      </c>
      <c r="G6" s="28" t="s">
        <v>75</v>
      </c>
      <c r="H6" s="28" t="s">
        <v>370</v>
      </c>
      <c r="I6" s="30" t="str">
        <f>"2100,0"</f>
        <v>2100,0</v>
      </c>
      <c r="J6" s="31" t="str">
        <f>"25,0596"</f>
        <v>25,0596</v>
      </c>
      <c r="K6" s="26" t="s">
        <v>32</v>
      </c>
    </row>
    <row r="7" spans="1:11" ht="12.75">
      <c r="A7" s="32" t="s">
        <v>369</v>
      </c>
      <c r="B7" s="32" t="s">
        <v>368</v>
      </c>
      <c r="C7" s="32" t="s">
        <v>270</v>
      </c>
      <c r="D7" s="33" t="str">
        <f>"1,0000"</f>
        <v>1,0000</v>
      </c>
      <c r="E7" s="32" t="s">
        <v>367</v>
      </c>
      <c r="F7" s="32" t="s">
        <v>366</v>
      </c>
      <c r="G7" s="34" t="s">
        <v>75</v>
      </c>
      <c r="H7" s="34" t="s">
        <v>365</v>
      </c>
      <c r="I7" s="36" t="str">
        <f>"750,0"</f>
        <v>750,0</v>
      </c>
      <c r="J7" s="37" t="str">
        <f>"10,1351"</f>
        <v>10,1351</v>
      </c>
      <c r="K7" s="32" t="s">
        <v>32</v>
      </c>
    </row>
    <row r="9" ht="15">
      <c r="E9" s="16" t="s">
        <v>33</v>
      </c>
    </row>
    <row r="10" ht="15">
      <c r="E10" s="16" t="s">
        <v>34</v>
      </c>
    </row>
    <row r="11" ht="15">
      <c r="E11" s="16" t="s">
        <v>35</v>
      </c>
    </row>
    <row r="12" ht="15">
      <c r="E12" s="16" t="s">
        <v>36</v>
      </c>
    </row>
    <row r="13" ht="15">
      <c r="E13" s="16" t="s">
        <v>36</v>
      </c>
    </row>
    <row r="14" ht="15">
      <c r="E14" s="16" t="s">
        <v>37</v>
      </c>
    </row>
    <row r="15" ht="15">
      <c r="E15" s="16"/>
    </row>
    <row r="17" spans="1:2" ht="18">
      <c r="A17" s="17" t="s">
        <v>38</v>
      </c>
      <c r="B17" s="17"/>
    </row>
    <row r="18" spans="1:2" ht="15">
      <c r="A18" s="18" t="s">
        <v>39</v>
      </c>
      <c r="B18" s="18"/>
    </row>
    <row r="19" spans="1:2" ht="14.25">
      <c r="A19" s="20"/>
      <c r="B19" s="21" t="s">
        <v>40</v>
      </c>
    </row>
    <row r="20" spans="1:5" ht="15">
      <c r="A20" s="22" t="s">
        <v>41</v>
      </c>
      <c r="B20" s="22" t="s">
        <v>42</v>
      </c>
      <c r="C20" s="22" t="s">
        <v>43</v>
      </c>
      <c r="D20" s="23" t="s">
        <v>188</v>
      </c>
      <c r="E20" s="22" t="s">
        <v>335</v>
      </c>
    </row>
    <row r="21" spans="1:5" ht="12.75">
      <c r="A21" s="19" t="s">
        <v>306</v>
      </c>
      <c r="B21" s="4" t="s">
        <v>40</v>
      </c>
      <c r="C21" s="4" t="s">
        <v>334</v>
      </c>
      <c r="D21" s="24">
        <v>2100</v>
      </c>
      <c r="E21" s="25">
        <v>25.0596</v>
      </c>
    </row>
    <row r="22" spans="1:5" ht="12.75">
      <c r="A22" s="19" t="s">
        <v>364</v>
      </c>
      <c r="B22" s="4" t="s">
        <v>40</v>
      </c>
      <c r="C22" s="4" t="s">
        <v>334</v>
      </c>
      <c r="D22" s="24">
        <v>750</v>
      </c>
      <c r="E22" s="25">
        <v>10.1351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1.125" style="4" bestFit="1" customWidth="1"/>
    <col min="7" max="7" width="5.00390625" style="3" customWidth="1"/>
    <col min="8" max="8" width="10.375" style="3" customWidth="1"/>
    <col min="9" max="9" width="7.875" style="7" bestFit="1" customWidth="1"/>
    <col min="10" max="10" width="7.625" style="8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1" t="s">
        <v>374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340</v>
      </c>
      <c r="E3" s="56" t="s">
        <v>4</v>
      </c>
      <c r="F3" s="56" t="s">
        <v>7</v>
      </c>
      <c r="G3" s="56" t="s">
        <v>371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338</v>
      </c>
      <c r="B5" s="60"/>
      <c r="C5" s="60"/>
      <c r="D5" s="60"/>
      <c r="E5" s="60"/>
      <c r="F5" s="60"/>
      <c r="G5" s="60"/>
      <c r="H5" s="60"/>
    </row>
    <row r="6" spans="1:11" ht="12.75">
      <c r="A6" s="10" t="s">
        <v>310</v>
      </c>
      <c r="B6" s="10" t="s">
        <v>309</v>
      </c>
      <c r="C6" s="10" t="s">
        <v>308</v>
      </c>
      <c r="D6" s="11" t="str">
        <f>"1,0000"</f>
        <v>1,0000</v>
      </c>
      <c r="E6" s="10" t="s">
        <v>307</v>
      </c>
      <c r="F6" s="10" t="s">
        <v>136</v>
      </c>
      <c r="G6" s="12" t="s">
        <v>373</v>
      </c>
      <c r="H6" s="12" t="s">
        <v>93</v>
      </c>
      <c r="I6" s="14" t="str">
        <f>"1050,0"</f>
        <v>1050,0</v>
      </c>
      <c r="J6" s="15" t="str">
        <f>"10,3550"</f>
        <v>10,3550</v>
      </c>
      <c r="K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144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188</v>
      </c>
      <c r="E19" s="22" t="s">
        <v>335</v>
      </c>
    </row>
    <row r="20" spans="1:5" ht="12.75">
      <c r="A20" s="19" t="s">
        <v>305</v>
      </c>
      <c r="B20" s="4" t="s">
        <v>192</v>
      </c>
      <c r="C20" s="4" t="s">
        <v>334</v>
      </c>
      <c r="D20" s="24">
        <v>1050</v>
      </c>
      <c r="E20" s="25">
        <v>10.355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29.75390625" style="4" bestFit="1" customWidth="1"/>
    <col min="7" max="7" width="5.625" style="3" customWidth="1"/>
    <col min="8" max="8" width="10.375" style="3" customWidth="1"/>
    <col min="9" max="9" width="7.875" style="7" bestFit="1" customWidth="1"/>
    <col min="10" max="10" width="7.625" style="8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1" t="s">
        <v>378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340</v>
      </c>
      <c r="E3" s="56" t="s">
        <v>4</v>
      </c>
      <c r="F3" s="56" t="s">
        <v>7</v>
      </c>
      <c r="G3" s="56" t="s">
        <v>377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338</v>
      </c>
      <c r="B5" s="60"/>
      <c r="C5" s="60"/>
      <c r="D5" s="60"/>
      <c r="E5" s="60"/>
      <c r="F5" s="60"/>
      <c r="G5" s="60"/>
      <c r="H5" s="60"/>
    </row>
    <row r="6" spans="1:11" ht="12.75">
      <c r="A6" s="26" t="s">
        <v>263</v>
      </c>
      <c r="B6" s="26" t="s">
        <v>376</v>
      </c>
      <c r="C6" s="26" t="s">
        <v>265</v>
      </c>
      <c r="D6" s="27" t="str">
        <f>"1,0000"</f>
        <v>1,0000</v>
      </c>
      <c r="E6" s="26" t="s">
        <v>69</v>
      </c>
      <c r="F6" s="26" t="s">
        <v>54</v>
      </c>
      <c r="G6" s="28" t="s">
        <v>62</v>
      </c>
      <c r="H6" s="28" t="s">
        <v>375</v>
      </c>
      <c r="I6" s="30" t="str">
        <f>"2000,0"</f>
        <v>2000,0</v>
      </c>
      <c r="J6" s="31" t="str">
        <f>"22,1483"</f>
        <v>22,1483</v>
      </c>
      <c r="K6" s="26" t="s">
        <v>32</v>
      </c>
    </row>
    <row r="7" spans="1:11" ht="12.75">
      <c r="A7" s="32" t="s">
        <v>263</v>
      </c>
      <c r="B7" s="32" t="s">
        <v>264</v>
      </c>
      <c r="C7" s="32" t="s">
        <v>265</v>
      </c>
      <c r="D7" s="33" t="str">
        <f>"1,0000"</f>
        <v>1,0000</v>
      </c>
      <c r="E7" s="32" t="s">
        <v>69</v>
      </c>
      <c r="F7" s="32" t="s">
        <v>54</v>
      </c>
      <c r="G7" s="34" t="s">
        <v>62</v>
      </c>
      <c r="H7" s="34" t="s">
        <v>375</v>
      </c>
      <c r="I7" s="36" t="str">
        <f>"2000,0"</f>
        <v>2000,0</v>
      </c>
      <c r="J7" s="37" t="str">
        <f>"22,1483"</f>
        <v>22,1483</v>
      </c>
      <c r="K7" s="32" t="s">
        <v>32</v>
      </c>
    </row>
    <row r="9" ht="15">
      <c r="E9" s="16" t="s">
        <v>33</v>
      </c>
    </row>
    <row r="10" ht="15">
      <c r="E10" s="16" t="s">
        <v>34</v>
      </c>
    </row>
    <row r="11" ht="15">
      <c r="E11" s="16" t="s">
        <v>35</v>
      </c>
    </row>
    <row r="12" ht="15">
      <c r="E12" s="16" t="s">
        <v>36</v>
      </c>
    </row>
    <row r="13" ht="15">
      <c r="E13" s="16" t="s">
        <v>36</v>
      </c>
    </row>
    <row r="14" ht="15">
      <c r="E14" s="16" t="s">
        <v>37</v>
      </c>
    </row>
    <row r="15" ht="15">
      <c r="E15" s="16"/>
    </row>
    <row r="17" spans="1:2" ht="18">
      <c r="A17" s="17" t="s">
        <v>38</v>
      </c>
      <c r="B17" s="17"/>
    </row>
    <row r="18" spans="1:2" ht="15">
      <c r="A18" s="18" t="s">
        <v>39</v>
      </c>
      <c r="B18" s="18"/>
    </row>
    <row r="19" spans="1:2" ht="14.25">
      <c r="A19" s="20"/>
      <c r="B19" s="21" t="s">
        <v>40</v>
      </c>
    </row>
    <row r="20" spans="1:5" ht="15">
      <c r="A20" s="22" t="s">
        <v>41</v>
      </c>
      <c r="B20" s="22" t="s">
        <v>42</v>
      </c>
      <c r="C20" s="22" t="s">
        <v>43</v>
      </c>
      <c r="D20" s="23" t="s">
        <v>188</v>
      </c>
      <c r="E20" s="22" t="s">
        <v>335</v>
      </c>
    </row>
    <row r="21" spans="1:5" ht="12.75">
      <c r="A21" s="19" t="s">
        <v>262</v>
      </c>
      <c r="B21" s="4" t="s">
        <v>40</v>
      </c>
      <c r="C21" s="4" t="s">
        <v>334</v>
      </c>
      <c r="D21" s="24">
        <v>2000</v>
      </c>
      <c r="E21" s="25">
        <v>22.1483</v>
      </c>
    </row>
    <row r="23" spans="1:2" ht="14.25">
      <c r="A23" s="20"/>
      <c r="B23" s="21" t="s">
        <v>144</v>
      </c>
    </row>
    <row r="24" spans="1:5" ht="15">
      <c r="A24" s="22" t="s">
        <v>41</v>
      </c>
      <c r="B24" s="22" t="s">
        <v>42</v>
      </c>
      <c r="C24" s="22" t="s">
        <v>43</v>
      </c>
      <c r="D24" s="23" t="s">
        <v>188</v>
      </c>
      <c r="E24" s="22" t="s">
        <v>335</v>
      </c>
    </row>
    <row r="25" spans="1:5" ht="12.75">
      <c r="A25" s="19" t="s">
        <v>262</v>
      </c>
      <c r="B25" s="4" t="s">
        <v>192</v>
      </c>
      <c r="C25" s="4" t="s">
        <v>334</v>
      </c>
      <c r="D25" s="24">
        <v>2000</v>
      </c>
      <c r="E25" s="25">
        <v>22.1483</v>
      </c>
    </row>
  </sheetData>
  <sheetProtection/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1.125" style="4" bestFit="1" customWidth="1"/>
    <col min="7" max="7" width="5.00390625" style="3" customWidth="1"/>
    <col min="8" max="8" width="10.375" style="3" customWidth="1"/>
    <col min="9" max="9" width="7.875" style="7" bestFit="1" customWidth="1"/>
    <col min="10" max="10" width="7.625" style="8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1" t="s">
        <v>380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10</v>
      </c>
      <c r="D3" s="54" t="s">
        <v>340</v>
      </c>
      <c r="E3" s="56" t="s">
        <v>4</v>
      </c>
      <c r="F3" s="56" t="s">
        <v>7</v>
      </c>
      <c r="G3" s="56" t="s">
        <v>377</v>
      </c>
      <c r="H3" s="56"/>
      <c r="I3" s="54" t="s">
        <v>194</v>
      </c>
      <c r="J3" s="54" t="s">
        <v>3</v>
      </c>
      <c r="K3" s="57" t="s">
        <v>2</v>
      </c>
    </row>
    <row r="4" spans="1:11" s="1" customFormat="1" ht="21" customHeight="1" thickBot="1">
      <c r="A4" s="51"/>
      <c r="B4" s="53"/>
      <c r="C4" s="53"/>
      <c r="D4" s="55"/>
      <c r="E4" s="53"/>
      <c r="F4" s="53"/>
      <c r="G4" s="44" t="s">
        <v>8</v>
      </c>
      <c r="H4" s="44" t="s">
        <v>9</v>
      </c>
      <c r="I4" s="55"/>
      <c r="J4" s="55"/>
      <c r="K4" s="58"/>
    </row>
    <row r="5" spans="1:8" ht="15">
      <c r="A5" s="59" t="s">
        <v>338</v>
      </c>
      <c r="B5" s="60"/>
      <c r="C5" s="60"/>
      <c r="D5" s="60"/>
      <c r="E5" s="60"/>
      <c r="F5" s="60"/>
      <c r="G5" s="60"/>
      <c r="H5" s="60"/>
    </row>
    <row r="6" spans="1:11" ht="12.75">
      <c r="A6" s="10" t="s">
        <v>310</v>
      </c>
      <c r="B6" s="10" t="s">
        <v>309</v>
      </c>
      <c r="C6" s="10" t="s">
        <v>379</v>
      </c>
      <c r="D6" s="11" t="str">
        <f>"1,0000"</f>
        <v>1,0000</v>
      </c>
      <c r="E6" s="10" t="s">
        <v>307</v>
      </c>
      <c r="F6" s="10" t="s">
        <v>136</v>
      </c>
      <c r="G6" s="12" t="s">
        <v>58</v>
      </c>
      <c r="H6" s="12" t="s">
        <v>75</v>
      </c>
      <c r="I6" s="14" t="str">
        <f>"2750,0"</f>
        <v>2750,0</v>
      </c>
      <c r="J6" s="15" t="str">
        <f>"27,1470"</f>
        <v>27,1470</v>
      </c>
      <c r="K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  <row r="17" spans="1:2" ht="15">
      <c r="A17" s="18" t="s">
        <v>39</v>
      </c>
      <c r="B17" s="18"/>
    </row>
    <row r="18" spans="1:2" ht="14.25">
      <c r="A18" s="20"/>
      <c r="B18" s="21" t="s">
        <v>144</v>
      </c>
    </row>
    <row r="19" spans="1:5" ht="15">
      <c r="A19" s="22" t="s">
        <v>41</v>
      </c>
      <c r="B19" s="22" t="s">
        <v>42</v>
      </c>
      <c r="C19" s="22" t="s">
        <v>43</v>
      </c>
      <c r="D19" s="23" t="s">
        <v>188</v>
      </c>
      <c r="E19" s="22" t="s">
        <v>335</v>
      </c>
    </row>
    <row r="20" spans="1:5" ht="12.75">
      <c r="A20" s="19" t="s">
        <v>305</v>
      </c>
      <c r="B20" s="4" t="s">
        <v>192</v>
      </c>
      <c r="C20" s="4" t="s">
        <v>334</v>
      </c>
      <c r="D20" s="24">
        <v>2750</v>
      </c>
      <c r="E20" s="25">
        <v>27.147</v>
      </c>
    </row>
  </sheetData>
  <sheetProtection/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6.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2.625" style="4" bestFit="1" customWidth="1"/>
    <col min="7" max="9" width="5.625" style="3" customWidth="1"/>
    <col min="10" max="10" width="4.875" style="3" customWidth="1"/>
    <col min="11" max="11" width="7.875" style="7" bestFit="1" customWidth="1"/>
    <col min="12" max="12" width="8.625" style="8" bestFit="1" customWidth="1"/>
    <col min="13" max="13" width="27.625" style="4" bestFit="1" customWidth="1"/>
    <col min="14" max="16384" width="9.125" style="3" customWidth="1"/>
  </cols>
  <sheetData>
    <row r="1" spans="1:13" s="2" customFormat="1" ht="28.5" customHeight="1">
      <c r="A1" s="61" t="s">
        <v>250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15</v>
      </c>
      <c r="H3" s="56"/>
      <c r="I3" s="56"/>
      <c r="J3" s="56"/>
      <c r="K3" s="54" t="s">
        <v>194</v>
      </c>
      <c r="L3" s="54" t="s">
        <v>3</v>
      </c>
      <c r="M3" s="57" t="s">
        <v>2</v>
      </c>
    </row>
    <row r="4" spans="1:13" s="1" customFormat="1" ht="21" customHeight="1" thickBot="1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0" ht="15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ht="12.75">
      <c r="A6" s="10" t="s">
        <v>252</v>
      </c>
      <c r="B6" s="10" t="s">
        <v>253</v>
      </c>
      <c r="C6" s="10" t="s">
        <v>254</v>
      </c>
      <c r="D6" s="11" t="str">
        <f>"1,0390"</f>
        <v>1,0390</v>
      </c>
      <c r="E6" s="10" t="s">
        <v>255</v>
      </c>
      <c r="F6" s="10" t="s">
        <v>238</v>
      </c>
      <c r="G6" s="12" t="s">
        <v>55</v>
      </c>
      <c r="H6" s="12" t="s">
        <v>57</v>
      </c>
      <c r="I6" s="12" t="s">
        <v>91</v>
      </c>
      <c r="J6" s="13"/>
      <c r="K6" s="14" t="str">
        <f>"105,0"</f>
        <v>105,0</v>
      </c>
      <c r="L6" s="15" t="str">
        <f>"134,1869"</f>
        <v>134,1869</v>
      </c>
      <c r="M6" s="10" t="s">
        <v>256</v>
      </c>
    </row>
    <row r="8" spans="1:10" ht="15">
      <c r="A8" s="62" t="s">
        <v>16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ht="12.75">
      <c r="A9" s="10" t="s">
        <v>207</v>
      </c>
      <c r="B9" s="10" t="s">
        <v>208</v>
      </c>
      <c r="C9" s="10" t="s">
        <v>209</v>
      </c>
      <c r="D9" s="11" t="str">
        <f>"0,5377"</f>
        <v>0,5377</v>
      </c>
      <c r="E9" s="10" t="s">
        <v>69</v>
      </c>
      <c r="F9" s="10" t="s">
        <v>54</v>
      </c>
      <c r="G9" s="12" t="s">
        <v>257</v>
      </c>
      <c r="H9" s="12" t="s">
        <v>25</v>
      </c>
      <c r="I9" s="12" t="s">
        <v>258</v>
      </c>
      <c r="J9" s="13"/>
      <c r="K9" s="14" t="str">
        <f>"285,0"</f>
        <v>285,0</v>
      </c>
      <c r="L9" s="15" t="str">
        <f>"153,2445"</f>
        <v>153,2445</v>
      </c>
      <c r="M9" s="10" t="s">
        <v>32</v>
      </c>
    </row>
    <row r="11" ht="15">
      <c r="E11" s="16" t="s">
        <v>33</v>
      </c>
    </row>
    <row r="12" ht="15">
      <c r="E12" s="16" t="s">
        <v>34</v>
      </c>
    </row>
    <row r="13" ht="15">
      <c r="E13" s="16" t="s">
        <v>35</v>
      </c>
    </row>
    <row r="14" ht="15">
      <c r="E14" s="16" t="s">
        <v>36</v>
      </c>
    </row>
    <row r="15" ht="15">
      <c r="E15" s="16" t="s">
        <v>36</v>
      </c>
    </row>
    <row r="16" ht="15">
      <c r="E16" s="16" t="s">
        <v>37</v>
      </c>
    </row>
    <row r="17" ht="15">
      <c r="E17" s="16"/>
    </row>
    <row r="19" spans="1:2" ht="18">
      <c r="A19" s="17" t="s">
        <v>38</v>
      </c>
      <c r="B19" s="17"/>
    </row>
    <row r="20" spans="1:2" ht="15">
      <c r="A20" s="18" t="s">
        <v>39</v>
      </c>
      <c r="B20" s="18"/>
    </row>
    <row r="21" spans="1:2" ht="14.25">
      <c r="A21" s="20"/>
      <c r="B21" s="21" t="s">
        <v>117</v>
      </c>
    </row>
    <row r="22" spans="1:5" ht="15">
      <c r="A22" s="22" t="s">
        <v>41</v>
      </c>
      <c r="B22" s="22" t="s">
        <v>42</v>
      </c>
      <c r="C22" s="22" t="s">
        <v>43</v>
      </c>
      <c r="D22" s="23" t="s">
        <v>188</v>
      </c>
      <c r="E22" s="22" t="s">
        <v>45</v>
      </c>
    </row>
    <row r="23" spans="1:5" ht="12.75">
      <c r="A23" s="19" t="s">
        <v>251</v>
      </c>
      <c r="B23" s="4" t="s">
        <v>259</v>
      </c>
      <c r="C23" s="4" t="s">
        <v>116</v>
      </c>
      <c r="D23" s="24">
        <v>105</v>
      </c>
      <c r="E23" s="25">
        <v>134.186854434013</v>
      </c>
    </row>
    <row r="25" spans="1:2" ht="14.25">
      <c r="A25" s="20"/>
      <c r="B25" s="21" t="s">
        <v>40</v>
      </c>
    </row>
    <row r="26" spans="1:5" ht="15">
      <c r="A26" s="22" t="s">
        <v>41</v>
      </c>
      <c r="B26" s="22" t="s">
        <v>42</v>
      </c>
      <c r="C26" s="22" t="s">
        <v>43</v>
      </c>
      <c r="D26" s="23" t="s">
        <v>188</v>
      </c>
      <c r="E26" s="22" t="s">
        <v>45</v>
      </c>
    </row>
    <row r="27" spans="1:5" ht="12.75">
      <c r="A27" s="19" t="s">
        <v>206</v>
      </c>
      <c r="B27" s="4" t="s">
        <v>40</v>
      </c>
      <c r="C27" s="4" t="s">
        <v>46</v>
      </c>
      <c r="D27" s="24">
        <v>285</v>
      </c>
      <c r="E27" s="25">
        <v>153.244499266148</v>
      </c>
    </row>
  </sheetData>
  <sheetProtection/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3">
      <selection activeCell="A46" sqref="A46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2.625" style="4" bestFit="1" customWidth="1"/>
    <col min="7" max="9" width="5.625" style="3" customWidth="1"/>
    <col min="10" max="10" width="4.875" style="3" customWidth="1"/>
    <col min="11" max="11" width="7.875" style="7" bestFit="1" customWidth="1"/>
    <col min="12" max="12" width="8.625" style="8" bestFit="1" customWidth="1"/>
    <col min="13" max="13" width="14.375" style="4" bestFit="1" customWidth="1"/>
    <col min="14" max="16384" width="9.125" style="3" customWidth="1"/>
  </cols>
  <sheetData>
    <row r="1" spans="1:13" s="2" customFormat="1" ht="28.5" customHeight="1">
      <c r="A1" s="61" t="s">
        <v>217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15</v>
      </c>
      <c r="H3" s="56"/>
      <c r="I3" s="56"/>
      <c r="J3" s="56"/>
      <c r="K3" s="54" t="s">
        <v>194</v>
      </c>
      <c r="L3" s="54" t="s">
        <v>3</v>
      </c>
      <c r="M3" s="57" t="s">
        <v>2</v>
      </c>
    </row>
    <row r="4" spans="1:13" s="1" customFormat="1" ht="21" customHeight="1" thickBot="1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0" ht="15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ht="12.75">
      <c r="A6" s="10" t="s">
        <v>50</v>
      </c>
      <c r="B6" s="10" t="s">
        <v>51</v>
      </c>
      <c r="C6" s="10" t="s">
        <v>52</v>
      </c>
      <c r="D6" s="11" t="str">
        <f>"0,9801"</f>
        <v>0,9801</v>
      </c>
      <c r="E6" s="10" t="s">
        <v>53</v>
      </c>
      <c r="F6" s="10" t="s">
        <v>54</v>
      </c>
      <c r="G6" s="12" t="s">
        <v>60</v>
      </c>
      <c r="H6" s="12" t="s">
        <v>61</v>
      </c>
      <c r="I6" s="12" t="s">
        <v>62</v>
      </c>
      <c r="J6" s="13"/>
      <c r="K6" s="14" t="str">
        <f>"125,0"</f>
        <v>125,0</v>
      </c>
      <c r="L6" s="15" t="str">
        <f>"122,5125"</f>
        <v>122,5125</v>
      </c>
      <c r="M6" s="10" t="s">
        <v>63</v>
      </c>
    </row>
    <row r="8" spans="1:10" ht="15">
      <c r="A8" s="62" t="s">
        <v>147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ht="12.75">
      <c r="A9" s="10" t="s">
        <v>219</v>
      </c>
      <c r="B9" s="10" t="s">
        <v>220</v>
      </c>
      <c r="C9" s="10" t="s">
        <v>221</v>
      </c>
      <c r="D9" s="11" t="str">
        <f>"0,7449"</f>
        <v>0,7449</v>
      </c>
      <c r="E9" s="10" t="s">
        <v>69</v>
      </c>
      <c r="F9" s="10" t="s">
        <v>222</v>
      </c>
      <c r="G9" s="12" t="s">
        <v>60</v>
      </c>
      <c r="H9" s="12" t="s">
        <v>102</v>
      </c>
      <c r="I9" s="12" t="s">
        <v>61</v>
      </c>
      <c r="J9" s="13"/>
      <c r="K9" s="14" t="str">
        <f>"120,0"</f>
        <v>120,0</v>
      </c>
      <c r="L9" s="15" t="str">
        <f>"89,3880"</f>
        <v>89,3880</v>
      </c>
      <c r="M9" s="10" t="s">
        <v>32</v>
      </c>
    </row>
    <row r="11" spans="1:10" ht="15">
      <c r="A11" s="62" t="s">
        <v>84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 ht="12.75">
      <c r="A12" s="10" t="s">
        <v>223</v>
      </c>
      <c r="B12" s="10" t="s">
        <v>224</v>
      </c>
      <c r="C12" s="10" t="s">
        <v>225</v>
      </c>
      <c r="D12" s="11" t="str">
        <f>"0,7337"</f>
        <v>0,7337</v>
      </c>
      <c r="E12" s="10" t="s">
        <v>69</v>
      </c>
      <c r="F12" s="10" t="s">
        <v>226</v>
      </c>
      <c r="G12" s="12" t="s">
        <v>108</v>
      </c>
      <c r="H12" s="12" t="s">
        <v>129</v>
      </c>
      <c r="I12" s="13" t="s">
        <v>227</v>
      </c>
      <c r="J12" s="13"/>
      <c r="K12" s="14" t="str">
        <f>"175,0"</f>
        <v>175,0</v>
      </c>
      <c r="L12" s="15" t="str">
        <f>"128,3975"</f>
        <v>128,3975</v>
      </c>
      <c r="M12" s="10" t="s">
        <v>162</v>
      </c>
    </row>
    <row r="14" spans="1:10" ht="15">
      <c r="A14" s="62" t="s">
        <v>147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3" ht="12.75">
      <c r="A15" s="26" t="s">
        <v>229</v>
      </c>
      <c r="B15" s="26" t="s">
        <v>230</v>
      </c>
      <c r="C15" s="26" t="s">
        <v>231</v>
      </c>
      <c r="D15" s="27" t="str">
        <f>"0,6805"</f>
        <v>0,6805</v>
      </c>
      <c r="E15" s="26" t="s">
        <v>69</v>
      </c>
      <c r="F15" s="26" t="s">
        <v>222</v>
      </c>
      <c r="G15" s="28" t="s">
        <v>27</v>
      </c>
      <c r="H15" s="28" t="s">
        <v>28</v>
      </c>
      <c r="I15" s="29" t="s">
        <v>130</v>
      </c>
      <c r="J15" s="29"/>
      <c r="K15" s="30" t="str">
        <f>"180,0"</f>
        <v>180,0</v>
      </c>
      <c r="L15" s="31" t="str">
        <f>"122,4900"</f>
        <v>122,4900</v>
      </c>
      <c r="M15" s="26" t="s">
        <v>232</v>
      </c>
    </row>
    <row r="16" spans="1:13" ht="12.75">
      <c r="A16" s="32" t="s">
        <v>234</v>
      </c>
      <c r="B16" s="32" t="s">
        <v>235</v>
      </c>
      <c r="C16" s="32" t="s">
        <v>236</v>
      </c>
      <c r="D16" s="33" t="str">
        <f>"0,6859"</f>
        <v>0,6859</v>
      </c>
      <c r="E16" s="32" t="s">
        <v>237</v>
      </c>
      <c r="F16" s="32" t="s">
        <v>238</v>
      </c>
      <c r="G16" s="35" t="s">
        <v>130</v>
      </c>
      <c r="H16" s="34" t="s">
        <v>239</v>
      </c>
      <c r="I16" s="34" t="s">
        <v>240</v>
      </c>
      <c r="J16" s="35"/>
      <c r="K16" s="36" t="str">
        <f>"205,0"</f>
        <v>205,0</v>
      </c>
      <c r="L16" s="37" t="str">
        <f>"140,6095"</f>
        <v>140,6095</v>
      </c>
      <c r="M16" s="32" t="s">
        <v>241</v>
      </c>
    </row>
    <row r="18" spans="1:10" ht="15">
      <c r="A18" s="62" t="s">
        <v>181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3" ht="12.75">
      <c r="A19" s="10" t="s">
        <v>243</v>
      </c>
      <c r="B19" s="10" t="s">
        <v>244</v>
      </c>
      <c r="C19" s="10" t="s">
        <v>245</v>
      </c>
      <c r="D19" s="11" t="str">
        <f>"0,5639"</f>
        <v>0,5639</v>
      </c>
      <c r="E19" s="10" t="s">
        <v>69</v>
      </c>
      <c r="F19" s="10" t="s">
        <v>246</v>
      </c>
      <c r="G19" s="12" t="s">
        <v>247</v>
      </c>
      <c r="H19" s="12" t="s">
        <v>248</v>
      </c>
      <c r="I19" s="12" t="s">
        <v>249</v>
      </c>
      <c r="J19" s="13"/>
      <c r="K19" s="14" t="str">
        <f>"240,0"</f>
        <v>240,0</v>
      </c>
      <c r="L19" s="15" t="str">
        <f>"135,3360"</f>
        <v>135,3360</v>
      </c>
      <c r="M19" s="10" t="s">
        <v>32</v>
      </c>
    </row>
    <row r="21" ht="15">
      <c r="E21" s="16" t="s">
        <v>33</v>
      </c>
    </row>
    <row r="22" ht="15">
      <c r="E22" s="16" t="s">
        <v>34</v>
      </c>
    </row>
    <row r="23" ht="15">
      <c r="E23" s="16" t="s">
        <v>35</v>
      </c>
    </row>
    <row r="24" ht="15">
      <c r="E24" s="16" t="s">
        <v>36</v>
      </c>
    </row>
    <row r="25" ht="15">
      <c r="E25" s="16" t="s">
        <v>36</v>
      </c>
    </row>
    <row r="26" ht="15">
      <c r="E26" s="16" t="s">
        <v>37</v>
      </c>
    </row>
    <row r="27" ht="15">
      <c r="E27" s="16"/>
    </row>
    <row r="29" spans="1:2" ht="18">
      <c r="A29" s="17" t="s">
        <v>38</v>
      </c>
      <c r="B29" s="17"/>
    </row>
    <row r="30" spans="1:2" ht="15">
      <c r="A30" s="18" t="s">
        <v>109</v>
      </c>
      <c r="B30" s="18"/>
    </row>
    <row r="31" spans="1:2" ht="14.25">
      <c r="A31" s="20"/>
      <c r="B31" s="21" t="s">
        <v>40</v>
      </c>
    </row>
    <row r="32" spans="1:5" ht="15">
      <c r="A32" s="22" t="s">
        <v>41</v>
      </c>
      <c r="B32" s="22" t="s">
        <v>42</v>
      </c>
      <c r="C32" s="22" t="s">
        <v>43</v>
      </c>
      <c r="D32" s="23" t="s">
        <v>188</v>
      </c>
      <c r="E32" s="22" t="s">
        <v>45</v>
      </c>
    </row>
    <row r="33" spans="1:5" ht="12.75">
      <c r="A33" s="19" t="s">
        <v>49</v>
      </c>
      <c r="B33" s="4" t="s">
        <v>40</v>
      </c>
      <c r="C33" s="4" t="s">
        <v>116</v>
      </c>
      <c r="D33" s="24">
        <v>125</v>
      </c>
      <c r="E33" s="25">
        <v>122.512497007847</v>
      </c>
    </row>
    <row r="34" spans="1:5" ht="12.75">
      <c r="A34" s="19" t="s">
        <v>218</v>
      </c>
      <c r="B34" s="4" t="s">
        <v>40</v>
      </c>
      <c r="C34" s="4" t="s">
        <v>191</v>
      </c>
      <c r="D34" s="24">
        <v>120</v>
      </c>
      <c r="E34" s="25">
        <v>89.3879985809326</v>
      </c>
    </row>
    <row r="37" spans="1:2" ht="15">
      <c r="A37" s="18" t="s">
        <v>39</v>
      </c>
      <c r="B37" s="18"/>
    </row>
    <row r="38" spans="1:2" ht="14.25">
      <c r="A38" s="20"/>
      <c r="B38" s="21" t="s">
        <v>189</v>
      </c>
    </row>
    <row r="39" spans="1:5" ht="15">
      <c r="A39" s="22" t="s">
        <v>41</v>
      </c>
      <c r="B39" s="22" t="s">
        <v>42</v>
      </c>
      <c r="C39" s="22" t="s">
        <v>43</v>
      </c>
      <c r="D39" s="23" t="s">
        <v>188</v>
      </c>
      <c r="E39" s="22" t="s">
        <v>45</v>
      </c>
    </row>
    <row r="40" spans="1:5" ht="12.75">
      <c r="A40" s="19" t="s">
        <v>228</v>
      </c>
      <c r="B40" s="4" t="s">
        <v>114</v>
      </c>
      <c r="C40" s="4" t="s">
        <v>191</v>
      </c>
      <c r="D40" s="24">
        <v>180</v>
      </c>
      <c r="E40" s="25">
        <v>122.489994764328</v>
      </c>
    </row>
    <row r="42" spans="1:2" ht="14.25">
      <c r="A42" s="20"/>
      <c r="B42" s="21" t="s">
        <v>40</v>
      </c>
    </row>
    <row r="43" spans="1:5" ht="15">
      <c r="A43" s="22" t="s">
        <v>41</v>
      </c>
      <c r="B43" s="22" t="s">
        <v>42</v>
      </c>
      <c r="C43" s="22" t="s">
        <v>43</v>
      </c>
      <c r="D43" s="23" t="s">
        <v>188</v>
      </c>
      <c r="E43" s="22" t="s">
        <v>45</v>
      </c>
    </row>
    <row r="44" spans="1:5" ht="12.75">
      <c r="A44" s="19" t="s">
        <v>233</v>
      </c>
      <c r="B44" s="4" t="s">
        <v>40</v>
      </c>
      <c r="C44" s="4" t="s">
        <v>191</v>
      </c>
      <c r="D44" s="24">
        <v>205</v>
      </c>
      <c r="E44" s="25">
        <v>140.609494447708</v>
      </c>
    </row>
    <row r="45" spans="1:5" ht="12.75">
      <c r="A45" s="19" t="s">
        <v>242</v>
      </c>
      <c r="B45" s="4" t="s">
        <v>40</v>
      </c>
      <c r="C45" s="4" t="s">
        <v>190</v>
      </c>
      <c r="D45" s="24">
        <v>240</v>
      </c>
      <c r="E45" s="25">
        <v>135.335998535156</v>
      </c>
    </row>
    <row r="46" spans="1:5" ht="12.75">
      <c r="A46" s="19" t="s">
        <v>266</v>
      </c>
      <c r="B46" s="4" t="s">
        <v>40</v>
      </c>
      <c r="C46" s="4" t="s">
        <v>115</v>
      </c>
      <c r="D46" s="24">
        <v>175</v>
      </c>
      <c r="E46" s="25">
        <v>128.397496044636</v>
      </c>
    </row>
  </sheetData>
  <sheetProtection/>
  <mergeCells count="16">
    <mergeCell ref="A8:J8"/>
    <mergeCell ref="A11:J11"/>
    <mergeCell ref="A14:J14"/>
    <mergeCell ref="A18:J1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9.25390625" style="5" bestFit="1" customWidth="1"/>
    <col min="5" max="5" width="22.75390625" style="4" bestFit="1" customWidth="1"/>
    <col min="6" max="6" width="29.00390625" style="4" bestFit="1" customWidth="1"/>
    <col min="7" max="8" width="5.625" style="3" customWidth="1"/>
    <col min="9" max="9" width="2.125" style="3" customWidth="1"/>
    <col min="10" max="10" width="4.875" style="3" customWidth="1"/>
    <col min="11" max="11" width="7.875" style="7" bestFit="1" customWidth="1"/>
    <col min="12" max="12" width="6.625" style="8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1" t="s">
        <v>213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14</v>
      </c>
      <c r="H3" s="56"/>
      <c r="I3" s="56"/>
      <c r="J3" s="56"/>
      <c r="K3" s="54" t="s">
        <v>194</v>
      </c>
      <c r="L3" s="54" t="s">
        <v>3</v>
      </c>
      <c r="M3" s="57" t="s">
        <v>2</v>
      </c>
    </row>
    <row r="4" spans="1:13" s="1" customFormat="1" ht="21" customHeight="1" thickBot="1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0" ht="15">
      <c r="A5" s="59" t="s">
        <v>84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ht="12.75">
      <c r="A6" s="10" t="s">
        <v>214</v>
      </c>
      <c r="B6" s="10" t="s">
        <v>215</v>
      </c>
      <c r="C6" s="10" t="s">
        <v>216</v>
      </c>
      <c r="D6" s="11" t="str">
        <f>"0,7398"</f>
        <v>0,7398</v>
      </c>
      <c r="E6" s="10" t="s">
        <v>178</v>
      </c>
      <c r="F6" s="10" t="s">
        <v>101</v>
      </c>
      <c r="G6" s="13" t="s">
        <v>28</v>
      </c>
      <c r="H6" s="13" t="s">
        <v>28</v>
      </c>
      <c r="I6" s="13"/>
      <c r="J6" s="13"/>
      <c r="K6" s="14" t="str">
        <f>"0.00"</f>
        <v>0.00</v>
      </c>
      <c r="L6" s="15" t="str">
        <f>"0,0000"</f>
        <v>0,0000</v>
      </c>
      <c r="M6" s="10" t="s">
        <v>32</v>
      </c>
    </row>
    <row r="8" ht="15">
      <c r="E8" s="16" t="s">
        <v>33</v>
      </c>
    </row>
    <row r="9" ht="15">
      <c r="E9" s="16" t="s">
        <v>34</v>
      </c>
    </row>
    <row r="10" ht="15">
      <c r="E10" s="16" t="s">
        <v>35</v>
      </c>
    </row>
    <row r="11" ht="15">
      <c r="E11" s="16" t="s">
        <v>36</v>
      </c>
    </row>
    <row r="12" ht="15">
      <c r="E12" s="16" t="s">
        <v>36</v>
      </c>
    </row>
    <row r="13" ht="15">
      <c r="E13" s="16" t="s">
        <v>37</v>
      </c>
    </row>
    <row r="14" ht="15">
      <c r="E14" s="16"/>
    </row>
    <row r="16" spans="1:2" ht="18">
      <c r="A16" s="17" t="s">
        <v>38</v>
      </c>
      <c r="B16" s="17"/>
    </row>
  </sheetData>
  <sheetProtection/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32.625" style="4" bestFit="1" customWidth="1"/>
    <col min="7" max="9" width="5.625" style="3" customWidth="1"/>
    <col min="10" max="10" width="4.875" style="3" customWidth="1"/>
    <col min="11" max="11" width="7.875" style="7" bestFit="1" customWidth="1"/>
    <col min="12" max="12" width="8.625" style="8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1" t="s">
        <v>195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14</v>
      </c>
      <c r="H3" s="56"/>
      <c r="I3" s="56"/>
      <c r="J3" s="56"/>
      <c r="K3" s="54" t="s">
        <v>194</v>
      </c>
      <c r="L3" s="54" t="s">
        <v>3</v>
      </c>
      <c r="M3" s="57" t="s">
        <v>2</v>
      </c>
    </row>
    <row r="4" spans="1:13" s="1" customFormat="1" ht="21" customHeight="1" thickBot="1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0" ht="15">
      <c r="A5" s="59" t="s">
        <v>196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ht="12.75">
      <c r="A6" s="10" t="s">
        <v>198</v>
      </c>
      <c r="B6" s="10" t="s">
        <v>199</v>
      </c>
      <c r="C6" s="10" t="s">
        <v>200</v>
      </c>
      <c r="D6" s="11" t="str">
        <f>"0,8694"</f>
        <v>0,8694</v>
      </c>
      <c r="E6" s="10" t="s">
        <v>69</v>
      </c>
      <c r="F6" s="10" t="s">
        <v>70</v>
      </c>
      <c r="G6" s="12" t="s">
        <v>90</v>
      </c>
      <c r="H6" s="12" t="s">
        <v>91</v>
      </c>
      <c r="I6" s="12" t="s">
        <v>127</v>
      </c>
      <c r="J6" s="13"/>
      <c r="K6" s="14" t="str">
        <f>"112,5"</f>
        <v>112,5</v>
      </c>
      <c r="L6" s="15" t="str">
        <f>"97,8131"</f>
        <v>97,8131</v>
      </c>
      <c r="M6" s="10" t="s">
        <v>32</v>
      </c>
    </row>
    <row r="8" spans="1:10" ht="15">
      <c r="A8" s="62" t="s">
        <v>167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ht="12.75">
      <c r="A9" s="10" t="s">
        <v>202</v>
      </c>
      <c r="B9" s="10" t="s">
        <v>203</v>
      </c>
      <c r="C9" s="10" t="s">
        <v>204</v>
      </c>
      <c r="D9" s="11" t="str">
        <f>"0,6279"</f>
        <v>0,6279</v>
      </c>
      <c r="E9" s="10" t="s">
        <v>69</v>
      </c>
      <c r="F9" s="10" t="s">
        <v>54</v>
      </c>
      <c r="G9" s="12" t="s">
        <v>172</v>
      </c>
      <c r="H9" s="12" t="s">
        <v>62</v>
      </c>
      <c r="I9" s="12" t="s">
        <v>205</v>
      </c>
      <c r="J9" s="13"/>
      <c r="K9" s="14" t="str">
        <f>"132,5"</f>
        <v>132,5</v>
      </c>
      <c r="L9" s="15" t="str">
        <f>"127,7070"</f>
        <v>127,7070</v>
      </c>
      <c r="M9" s="10" t="s">
        <v>32</v>
      </c>
    </row>
    <row r="11" spans="1:10" ht="15">
      <c r="A11" s="62" t="s">
        <v>16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 ht="12.75">
      <c r="A12" s="10" t="s">
        <v>207</v>
      </c>
      <c r="B12" s="10" t="s">
        <v>208</v>
      </c>
      <c r="C12" s="10" t="s">
        <v>209</v>
      </c>
      <c r="D12" s="11" t="str">
        <f>"0,5377"</f>
        <v>0,5377</v>
      </c>
      <c r="E12" s="10" t="s">
        <v>69</v>
      </c>
      <c r="F12" s="10" t="s">
        <v>54</v>
      </c>
      <c r="G12" s="13" t="s">
        <v>210</v>
      </c>
      <c r="H12" s="13" t="s">
        <v>210</v>
      </c>
      <c r="I12" s="12" t="s">
        <v>210</v>
      </c>
      <c r="J12" s="13"/>
      <c r="K12" s="14" t="str">
        <f>"200,0"</f>
        <v>200,0</v>
      </c>
      <c r="L12" s="15" t="str">
        <f>"107,5400"</f>
        <v>107,5400</v>
      </c>
      <c r="M12" s="10" t="s">
        <v>32</v>
      </c>
    </row>
    <row r="14" ht="15">
      <c r="E14" s="16" t="s">
        <v>33</v>
      </c>
    </row>
    <row r="15" ht="15">
      <c r="E15" s="16" t="s">
        <v>34</v>
      </c>
    </row>
    <row r="16" ht="15">
      <c r="E16" s="16" t="s">
        <v>35</v>
      </c>
    </row>
    <row r="17" ht="15">
      <c r="E17" s="16" t="s">
        <v>36</v>
      </c>
    </row>
    <row r="18" ht="15">
      <c r="E18" s="16" t="s">
        <v>36</v>
      </c>
    </row>
    <row r="19" ht="15">
      <c r="E19" s="16" t="s">
        <v>37</v>
      </c>
    </row>
    <row r="20" ht="15">
      <c r="E20" s="16"/>
    </row>
    <row r="22" spans="1:2" ht="18">
      <c r="A22" s="17" t="s">
        <v>38</v>
      </c>
      <c r="B22" s="17"/>
    </row>
    <row r="23" spans="1:2" ht="15">
      <c r="A23" s="18" t="s">
        <v>109</v>
      </c>
      <c r="B23" s="18"/>
    </row>
    <row r="24" spans="1:2" ht="14.25">
      <c r="A24" s="20"/>
      <c r="B24" s="21" t="s">
        <v>40</v>
      </c>
    </row>
    <row r="25" spans="1:5" ht="15">
      <c r="A25" s="22" t="s">
        <v>41</v>
      </c>
      <c r="B25" s="22" t="s">
        <v>42</v>
      </c>
      <c r="C25" s="22" t="s">
        <v>43</v>
      </c>
      <c r="D25" s="23" t="s">
        <v>188</v>
      </c>
      <c r="E25" s="22" t="s">
        <v>45</v>
      </c>
    </row>
    <row r="26" spans="1:5" ht="12.75">
      <c r="A26" s="19" t="s">
        <v>197</v>
      </c>
      <c r="B26" s="4" t="s">
        <v>40</v>
      </c>
      <c r="C26" s="4" t="s">
        <v>211</v>
      </c>
      <c r="D26" s="24">
        <v>112.5</v>
      </c>
      <c r="E26" s="25">
        <v>97.8131219744682</v>
      </c>
    </row>
    <row r="29" spans="1:2" ht="15">
      <c r="A29" s="18" t="s">
        <v>39</v>
      </c>
      <c r="B29" s="18"/>
    </row>
    <row r="30" spans="1:2" ht="14.25">
      <c r="A30" s="20"/>
      <c r="B30" s="21" t="s">
        <v>40</v>
      </c>
    </row>
    <row r="31" spans="1:5" ht="15">
      <c r="A31" s="22" t="s">
        <v>41</v>
      </c>
      <c r="B31" s="22" t="s">
        <v>42</v>
      </c>
      <c r="C31" s="22" t="s">
        <v>43</v>
      </c>
      <c r="D31" s="23" t="s">
        <v>188</v>
      </c>
      <c r="E31" s="22" t="s">
        <v>45</v>
      </c>
    </row>
    <row r="32" spans="1:5" ht="12.75">
      <c r="A32" s="19" t="s">
        <v>206</v>
      </c>
      <c r="B32" s="4" t="s">
        <v>40</v>
      </c>
      <c r="C32" s="4" t="s">
        <v>46</v>
      </c>
      <c r="D32" s="24">
        <v>200</v>
      </c>
      <c r="E32" s="25">
        <v>107.539999485016</v>
      </c>
    </row>
    <row r="34" spans="1:2" ht="14.25">
      <c r="A34" s="20"/>
      <c r="B34" s="21" t="s">
        <v>144</v>
      </c>
    </row>
    <row r="35" spans="1:5" ht="15">
      <c r="A35" s="22" t="s">
        <v>41</v>
      </c>
      <c r="B35" s="22" t="s">
        <v>42</v>
      </c>
      <c r="C35" s="22" t="s">
        <v>43</v>
      </c>
      <c r="D35" s="23" t="s">
        <v>188</v>
      </c>
      <c r="E35" s="22" t="s">
        <v>45</v>
      </c>
    </row>
    <row r="36" spans="1:5" ht="12.75">
      <c r="A36" s="19" t="s">
        <v>201</v>
      </c>
      <c r="B36" s="4" t="s">
        <v>212</v>
      </c>
      <c r="C36" s="4" t="s">
        <v>193</v>
      </c>
      <c r="D36" s="24">
        <v>132.5</v>
      </c>
      <c r="E36" s="25">
        <v>127.707012142241</v>
      </c>
    </row>
  </sheetData>
  <sheetProtection/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11.875" style="5" bestFit="1" customWidth="1"/>
    <col min="5" max="5" width="22.75390625" style="4" bestFit="1" customWidth="1"/>
    <col min="6" max="6" width="29.75390625" style="4" bestFit="1" customWidth="1"/>
    <col min="7" max="9" width="5.625" style="3" customWidth="1"/>
    <col min="10" max="10" width="4.875" style="3" customWidth="1"/>
    <col min="11" max="11" width="7.875" style="7" bestFit="1" customWidth="1"/>
    <col min="12" max="12" width="7.625" style="8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61" t="s">
        <v>146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14</v>
      </c>
      <c r="H3" s="56"/>
      <c r="I3" s="56"/>
      <c r="J3" s="56"/>
      <c r="K3" s="54" t="s">
        <v>194</v>
      </c>
      <c r="L3" s="54" t="s">
        <v>3</v>
      </c>
      <c r="M3" s="57" t="s">
        <v>2</v>
      </c>
    </row>
    <row r="4" spans="1:13" s="1" customFormat="1" ht="21" customHeight="1" thickBot="1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0" ht="15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ht="12.75">
      <c r="A6" s="10" t="s">
        <v>50</v>
      </c>
      <c r="B6" s="10" t="s">
        <v>51</v>
      </c>
      <c r="C6" s="10" t="s">
        <v>52</v>
      </c>
      <c r="D6" s="11" t="str">
        <f>"0,9801"</f>
        <v>0,9801</v>
      </c>
      <c r="E6" s="10" t="s">
        <v>53</v>
      </c>
      <c r="F6" s="10" t="s">
        <v>54</v>
      </c>
      <c r="G6" s="12" t="s">
        <v>58</v>
      </c>
      <c r="H6" s="13" t="s">
        <v>59</v>
      </c>
      <c r="I6" s="13" t="s">
        <v>59</v>
      </c>
      <c r="J6" s="13"/>
      <c r="K6" s="14" t="str">
        <f>"55,0"</f>
        <v>55,0</v>
      </c>
      <c r="L6" s="15" t="str">
        <f>"53,9055"</f>
        <v>53,9055</v>
      </c>
      <c r="M6" s="10" t="s">
        <v>63</v>
      </c>
    </row>
    <row r="8" spans="1:10" ht="15">
      <c r="A8" s="62" t="s">
        <v>147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ht="12.75">
      <c r="A9" s="26" t="s">
        <v>149</v>
      </c>
      <c r="B9" s="26" t="s">
        <v>150</v>
      </c>
      <c r="C9" s="26" t="s">
        <v>151</v>
      </c>
      <c r="D9" s="27" t="str">
        <f>"0,6730"</f>
        <v>0,6730</v>
      </c>
      <c r="E9" s="26" t="s">
        <v>69</v>
      </c>
      <c r="F9" s="26" t="s">
        <v>54</v>
      </c>
      <c r="G9" s="28" t="s">
        <v>60</v>
      </c>
      <c r="H9" s="28" t="s">
        <v>102</v>
      </c>
      <c r="I9" s="28" t="s">
        <v>61</v>
      </c>
      <c r="J9" s="29"/>
      <c r="K9" s="30" t="str">
        <f>"120,0"</f>
        <v>120,0</v>
      </c>
      <c r="L9" s="31" t="str">
        <f>"80,7600"</f>
        <v>80,7600</v>
      </c>
      <c r="M9" s="26" t="s">
        <v>32</v>
      </c>
    </row>
    <row r="10" spans="1:13" ht="12.75">
      <c r="A10" s="38" t="s">
        <v>153</v>
      </c>
      <c r="B10" s="38" t="s">
        <v>154</v>
      </c>
      <c r="C10" s="38" t="s">
        <v>155</v>
      </c>
      <c r="D10" s="39" t="str">
        <f>"0,6673"</f>
        <v>0,6673</v>
      </c>
      <c r="E10" s="38" t="s">
        <v>69</v>
      </c>
      <c r="F10" s="38" t="s">
        <v>54</v>
      </c>
      <c r="G10" s="41" t="s">
        <v>60</v>
      </c>
      <c r="H10" s="41" t="s">
        <v>61</v>
      </c>
      <c r="I10" s="41" t="s">
        <v>62</v>
      </c>
      <c r="J10" s="40"/>
      <c r="K10" s="42" t="str">
        <f>"125,0"</f>
        <v>125,0</v>
      </c>
      <c r="L10" s="43" t="str">
        <f>"83,4125"</f>
        <v>83,4125</v>
      </c>
      <c r="M10" s="38" t="s">
        <v>32</v>
      </c>
    </row>
    <row r="11" spans="1:13" ht="12.75">
      <c r="A11" s="38" t="s">
        <v>157</v>
      </c>
      <c r="B11" s="38" t="s">
        <v>158</v>
      </c>
      <c r="C11" s="38" t="s">
        <v>159</v>
      </c>
      <c r="D11" s="39" t="str">
        <f>"0,6723"</f>
        <v>0,6723</v>
      </c>
      <c r="E11" s="38" t="s">
        <v>160</v>
      </c>
      <c r="F11" s="38" t="s">
        <v>161</v>
      </c>
      <c r="G11" s="41" t="s">
        <v>127</v>
      </c>
      <c r="H11" s="41" t="s">
        <v>61</v>
      </c>
      <c r="I11" s="40" t="s">
        <v>62</v>
      </c>
      <c r="J11" s="40"/>
      <c r="K11" s="42" t="str">
        <f>"120,0"</f>
        <v>120,0</v>
      </c>
      <c r="L11" s="43" t="str">
        <f>"80,6760"</f>
        <v>80,6760</v>
      </c>
      <c r="M11" s="38" t="s">
        <v>162</v>
      </c>
    </row>
    <row r="12" spans="1:13" ht="12.75">
      <c r="A12" s="32" t="s">
        <v>164</v>
      </c>
      <c r="B12" s="32" t="s">
        <v>165</v>
      </c>
      <c r="C12" s="32" t="s">
        <v>166</v>
      </c>
      <c r="D12" s="33" t="str">
        <f>"0,6955"</f>
        <v>0,6955</v>
      </c>
      <c r="E12" s="32" t="s">
        <v>69</v>
      </c>
      <c r="F12" s="32" t="s">
        <v>54</v>
      </c>
      <c r="G12" s="34" t="s">
        <v>60</v>
      </c>
      <c r="H12" s="35" t="s">
        <v>61</v>
      </c>
      <c r="I12" s="35" t="s">
        <v>61</v>
      </c>
      <c r="J12" s="35"/>
      <c r="K12" s="36" t="str">
        <f>"110,0"</f>
        <v>110,0</v>
      </c>
      <c r="L12" s="37" t="str">
        <f>"76,5081"</f>
        <v>76,5081</v>
      </c>
      <c r="M12" s="32" t="s">
        <v>32</v>
      </c>
    </row>
    <row r="14" spans="1:10" ht="15">
      <c r="A14" s="62" t="s">
        <v>167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3" ht="12.75">
      <c r="A15" s="10" t="s">
        <v>169</v>
      </c>
      <c r="B15" s="10" t="s">
        <v>170</v>
      </c>
      <c r="C15" s="10" t="s">
        <v>171</v>
      </c>
      <c r="D15" s="11" t="str">
        <f>"0,6318"</f>
        <v>0,6318</v>
      </c>
      <c r="E15" s="10" t="s">
        <v>69</v>
      </c>
      <c r="F15" s="10" t="s">
        <v>54</v>
      </c>
      <c r="G15" s="12" t="s">
        <v>102</v>
      </c>
      <c r="H15" s="12" t="s">
        <v>172</v>
      </c>
      <c r="I15" s="12" t="s">
        <v>61</v>
      </c>
      <c r="J15" s="13"/>
      <c r="K15" s="14" t="str">
        <f>"120,0"</f>
        <v>120,0</v>
      </c>
      <c r="L15" s="15" t="str">
        <f>"78,1663"</f>
        <v>78,1663</v>
      </c>
      <c r="M15" s="10" t="s">
        <v>173</v>
      </c>
    </row>
    <row r="17" spans="1:10" ht="15">
      <c r="A17" s="62" t="s">
        <v>120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3" ht="12.75">
      <c r="A18" s="10" t="s">
        <v>175</v>
      </c>
      <c r="B18" s="10" t="s">
        <v>176</v>
      </c>
      <c r="C18" s="10" t="s">
        <v>177</v>
      </c>
      <c r="D18" s="11" t="str">
        <f>"0,5853"</f>
        <v>0,5853</v>
      </c>
      <c r="E18" s="10" t="s">
        <v>178</v>
      </c>
      <c r="F18" s="10" t="s">
        <v>101</v>
      </c>
      <c r="G18" s="12" t="s">
        <v>126</v>
      </c>
      <c r="H18" s="12" t="s">
        <v>179</v>
      </c>
      <c r="I18" s="13" t="s">
        <v>26</v>
      </c>
      <c r="J18" s="13"/>
      <c r="K18" s="14" t="str">
        <f>"155,0"</f>
        <v>155,0</v>
      </c>
      <c r="L18" s="15" t="str">
        <f>"90,7215"</f>
        <v>90,7215</v>
      </c>
      <c r="M18" s="10" t="s">
        <v>180</v>
      </c>
    </row>
    <row r="20" spans="1:10" ht="15">
      <c r="A20" s="62" t="s">
        <v>181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3" ht="12.75">
      <c r="A21" s="26" t="s">
        <v>183</v>
      </c>
      <c r="B21" s="26" t="s">
        <v>184</v>
      </c>
      <c r="C21" s="26" t="s">
        <v>185</v>
      </c>
      <c r="D21" s="27" t="str">
        <f>"0,5550"</f>
        <v>0,5550</v>
      </c>
      <c r="E21" s="26" t="s">
        <v>53</v>
      </c>
      <c r="F21" s="26" t="s">
        <v>54</v>
      </c>
      <c r="G21" s="28" t="s">
        <v>27</v>
      </c>
      <c r="H21" s="29" t="s">
        <v>129</v>
      </c>
      <c r="I21" s="28" t="s">
        <v>129</v>
      </c>
      <c r="J21" s="29"/>
      <c r="K21" s="30" t="str">
        <f>"175,0"</f>
        <v>175,0</v>
      </c>
      <c r="L21" s="31" t="str">
        <f>"97,1250"</f>
        <v>97,1250</v>
      </c>
      <c r="M21" s="26" t="s">
        <v>186</v>
      </c>
    </row>
    <row r="22" spans="1:13" ht="12.75">
      <c r="A22" s="32" t="s">
        <v>183</v>
      </c>
      <c r="B22" s="32" t="s">
        <v>187</v>
      </c>
      <c r="C22" s="32" t="s">
        <v>185</v>
      </c>
      <c r="D22" s="33" t="str">
        <f>"0,5550"</f>
        <v>0,5550</v>
      </c>
      <c r="E22" s="32" t="s">
        <v>53</v>
      </c>
      <c r="F22" s="32" t="s">
        <v>54</v>
      </c>
      <c r="G22" s="34" t="s">
        <v>27</v>
      </c>
      <c r="H22" s="35" t="s">
        <v>129</v>
      </c>
      <c r="I22" s="34" t="s">
        <v>129</v>
      </c>
      <c r="J22" s="35"/>
      <c r="K22" s="36" t="str">
        <f>"175,0"</f>
        <v>175,0</v>
      </c>
      <c r="L22" s="37" t="str">
        <f>"97,1250"</f>
        <v>97,1250</v>
      </c>
      <c r="M22" s="32" t="s">
        <v>186</v>
      </c>
    </row>
    <row r="24" ht="15">
      <c r="E24" s="16" t="s">
        <v>33</v>
      </c>
    </row>
    <row r="25" ht="15">
      <c r="E25" s="16" t="s">
        <v>34</v>
      </c>
    </row>
    <row r="26" ht="15">
      <c r="E26" s="16" t="s">
        <v>35</v>
      </c>
    </row>
    <row r="27" ht="15">
      <c r="E27" s="16" t="s">
        <v>36</v>
      </c>
    </row>
    <row r="28" ht="15">
      <c r="E28" s="16" t="s">
        <v>36</v>
      </c>
    </row>
    <row r="29" ht="15">
      <c r="E29" s="16" t="s">
        <v>37</v>
      </c>
    </row>
    <row r="30" ht="15">
      <c r="E30" s="16"/>
    </row>
    <row r="32" spans="1:2" ht="18">
      <c r="A32" s="17" t="s">
        <v>38</v>
      </c>
      <c r="B32" s="17"/>
    </row>
    <row r="33" spans="1:2" ht="15">
      <c r="A33" s="18" t="s">
        <v>109</v>
      </c>
      <c r="B33" s="18"/>
    </row>
    <row r="34" spans="1:2" ht="14.25">
      <c r="A34" s="20"/>
      <c r="B34" s="21" t="s">
        <v>40</v>
      </c>
    </row>
    <row r="35" spans="1:5" ht="15">
      <c r="A35" s="22" t="s">
        <v>41</v>
      </c>
      <c r="B35" s="22" t="s">
        <v>42</v>
      </c>
      <c r="C35" s="22" t="s">
        <v>43</v>
      </c>
      <c r="D35" s="23" t="s">
        <v>188</v>
      </c>
      <c r="E35" s="22" t="s">
        <v>45</v>
      </c>
    </row>
    <row r="36" spans="1:5" ht="12.75">
      <c r="A36" s="19" t="s">
        <v>49</v>
      </c>
      <c r="B36" s="4" t="s">
        <v>40</v>
      </c>
      <c r="C36" s="4" t="s">
        <v>116</v>
      </c>
      <c r="D36" s="24">
        <v>55</v>
      </c>
      <c r="E36" s="25">
        <v>53.9054986834526</v>
      </c>
    </row>
    <row r="39" spans="1:2" ht="15">
      <c r="A39" s="18" t="s">
        <v>39</v>
      </c>
      <c r="B39" s="18"/>
    </row>
    <row r="40" spans="1:2" ht="14.25">
      <c r="A40" s="20"/>
      <c r="B40" s="21" t="s">
        <v>189</v>
      </c>
    </row>
    <row r="41" spans="1:5" ht="15">
      <c r="A41" s="22" t="s">
        <v>41</v>
      </c>
      <c r="B41" s="22" t="s">
        <v>42</v>
      </c>
      <c r="C41" s="22" t="s">
        <v>43</v>
      </c>
      <c r="D41" s="23" t="s">
        <v>188</v>
      </c>
      <c r="E41" s="22" t="s">
        <v>45</v>
      </c>
    </row>
    <row r="42" spans="1:5" ht="12.75">
      <c r="A42" s="19" t="s">
        <v>182</v>
      </c>
      <c r="B42" s="4" t="s">
        <v>114</v>
      </c>
      <c r="C42" s="4" t="s">
        <v>190</v>
      </c>
      <c r="D42" s="24">
        <v>175</v>
      </c>
      <c r="E42" s="25">
        <v>97.1250012516975</v>
      </c>
    </row>
    <row r="43" spans="1:5" ht="12.75">
      <c r="A43" s="19" t="s">
        <v>148</v>
      </c>
      <c r="B43" s="4" t="s">
        <v>114</v>
      </c>
      <c r="C43" s="4" t="s">
        <v>191</v>
      </c>
      <c r="D43" s="24">
        <v>120</v>
      </c>
      <c r="E43" s="25">
        <v>80.7599973678589</v>
      </c>
    </row>
    <row r="45" spans="1:2" ht="14.25">
      <c r="A45" s="20"/>
      <c r="B45" s="21" t="s">
        <v>40</v>
      </c>
    </row>
    <row r="46" spans="1:5" ht="15">
      <c r="A46" s="22" t="s">
        <v>41</v>
      </c>
      <c r="B46" s="22" t="s">
        <v>42</v>
      </c>
      <c r="C46" s="22" t="s">
        <v>43</v>
      </c>
      <c r="D46" s="23" t="s">
        <v>188</v>
      </c>
      <c r="E46" s="22" t="s">
        <v>45</v>
      </c>
    </row>
    <row r="47" spans="1:5" ht="12.75">
      <c r="A47" s="19" t="s">
        <v>182</v>
      </c>
      <c r="B47" s="4" t="s">
        <v>40</v>
      </c>
      <c r="C47" s="4" t="s">
        <v>190</v>
      </c>
      <c r="D47" s="24">
        <v>175</v>
      </c>
      <c r="E47" s="25">
        <v>97.1250012516975</v>
      </c>
    </row>
    <row r="48" spans="1:5" ht="12.75">
      <c r="A48" s="19" t="s">
        <v>174</v>
      </c>
      <c r="B48" s="4" t="s">
        <v>40</v>
      </c>
      <c r="C48" s="4" t="s">
        <v>143</v>
      </c>
      <c r="D48" s="24">
        <v>155</v>
      </c>
      <c r="E48" s="25">
        <v>90.7215043902397</v>
      </c>
    </row>
    <row r="49" spans="1:5" ht="12.75">
      <c r="A49" s="19" t="s">
        <v>152</v>
      </c>
      <c r="B49" s="4" t="s">
        <v>40</v>
      </c>
      <c r="C49" s="4" t="s">
        <v>191</v>
      </c>
      <c r="D49" s="24">
        <v>125</v>
      </c>
      <c r="E49" s="25">
        <v>83.4124982357025</v>
      </c>
    </row>
    <row r="50" spans="1:5" ht="12.75">
      <c r="A50" s="19" t="s">
        <v>156</v>
      </c>
      <c r="B50" s="4" t="s">
        <v>40</v>
      </c>
      <c r="C50" s="4" t="s">
        <v>191</v>
      </c>
      <c r="D50" s="24">
        <v>120</v>
      </c>
      <c r="E50" s="25">
        <v>80.6759977340698</v>
      </c>
    </row>
    <row r="51" spans="1:5" ht="12.75">
      <c r="A51" s="19" t="s">
        <v>163</v>
      </c>
      <c r="B51" s="4" t="s">
        <v>40</v>
      </c>
      <c r="C51" s="4" t="s">
        <v>191</v>
      </c>
      <c r="D51" s="24">
        <v>110</v>
      </c>
      <c r="E51" s="25">
        <v>76.5080571174622</v>
      </c>
    </row>
    <row r="53" spans="1:2" ht="14.25">
      <c r="A53" s="20"/>
      <c r="B53" s="21" t="s">
        <v>144</v>
      </c>
    </row>
    <row r="54" spans="1:5" ht="15">
      <c r="A54" s="22" t="s">
        <v>41</v>
      </c>
      <c r="B54" s="22" t="s">
        <v>42</v>
      </c>
      <c r="C54" s="22" t="s">
        <v>43</v>
      </c>
      <c r="D54" s="23" t="s">
        <v>188</v>
      </c>
      <c r="E54" s="22" t="s">
        <v>45</v>
      </c>
    </row>
    <row r="55" spans="1:5" ht="12.75">
      <c r="A55" s="19" t="s">
        <v>168</v>
      </c>
      <c r="B55" s="4" t="s">
        <v>192</v>
      </c>
      <c r="C55" s="4" t="s">
        <v>193</v>
      </c>
      <c r="D55" s="24">
        <v>120</v>
      </c>
      <c r="E55" s="25">
        <v>78.1662954926491</v>
      </c>
    </row>
  </sheetData>
  <sheetProtection/>
  <mergeCells count="16">
    <mergeCell ref="A8:J8"/>
    <mergeCell ref="A14:J14"/>
    <mergeCell ref="A17:J17"/>
    <mergeCell ref="A20:J20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9.25390625" style="5" bestFit="1" customWidth="1"/>
    <col min="5" max="5" width="22.75390625" style="4" bestFit="1" customWidth="1"/>
    <col min="6" max="6" width="31.125" style="4" bestFit="1" customWidth="1"/>
    <col min="7" max="9" width="5.625" style="3" customWidth="1"/>
    <col min="10" max="10" width="4.875" style="3" customWidth="1"/>
    <col min="11" max="13" width="5.625" style="3" customWidth="1"/>
    <col min="14" max="14" width="4.875" style="3" customWidth="1"/>
    <col min="15" max="17" width="5.625" style="3" customWidth="1"/>
    <col min="18" max="18" width="4.875" style="3" customWidth="1"/>
    <col min="19" max="19" width="7.875" style="7" bestFit="1" customWidth="1"/>
    <col min="20" max="20" width="8.625" style="8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61" t="s">
        <v>119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13</v>
      </c>
      <c r="H3" s="56"/>
      <c r="I3" s="56"/>
      <c r="J3" s="56"/>
      <c r="K3" s="56" t="s">
        <v>14</v>
      </c>
      <c r="L3" s="56"/>
      <c r="M3" s="56"/>
      <c r="N3" s="56"/>
      <c r="O3" s="56" t="s">
        <v>15</v>
      </c>
      <c r="P3" s="56"/>
      <c r="Q3" s="56"/>
      <c r="R3" s="56"/>
      <c r="S3" s="54" t="s">
        <v>1</v>
      </c>
      <c r="T3" s="54" t="s">
        <v>3</v>
      </c>
      <c r="U3" s="57" t="s">
        <v>2</v>
      </c>
    </row>
    <row r="4" spans="1:21" s="1" customFormat="1" ht="21" customHeight="1" thickBot="1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55"/>
      <c r="T4" s="55"/>
      <c r="U4" s="58"/>
    </row>
    <row r="5" spans="1:18" ht="15">
      <c r="A5" s="59" t="s">
        <v>120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1" ht="12.75">
      <c r="A6" s="26" t="s">
        <v>122</v>
      </c>
      <c r="B6" s="26" t="s">
        <v>123</v>
      </c>
      <c r="C6" s="26" t="s">
        <v>124</v>
      </c>
      <c r="D6" s="27" t="str">
        <f>"0,6000"</f>
        <v>0,6000</v>
      </c>
      <c r="E6" s="26" t="s">
        <v>69</v>
      </c>
      <c r="F6" s="26" t="s">
        <v>54</v>
      </c>
      <c r="G6" s="28" t="s">
        <v>61</v>
      </c>
      <c r="H6" s="28" t="s">
        <v>125</v>
      </c>
      <c r="I6" s="28" t="s">
        <v>126</v>
      </c>
      <c r="J6" s="29"/>
      <c r="K6" s="28" t="s">
        <v>90</v>
      </c>
      <c r="L6" s="28" t="s">
        <v>92</v>
      </c>
      <c r="M6" s="28" t="s">
        <v>127</v>
      </c>
      <c r="N6" s="29"/>
      <c r="O6" s="28" t="s">
        <v>128</v>
      </c>
      <c r="P6" s="28" t="s">
        <v>129</v>
      </c>
      <c r="Q6" s="28" t="s">
        <v>130</v>
      </c>
      <c r="R6" s="29"/>
      <c r="S6" s="30" t="str">
        <f>"442,5"</f>
        <v>442,5</v>
      </c>
      <c r="T6" s="31" t="str">
        <f>"265,5000"</f>
        <v>265,5000</v>
      </c>
      <c r="U6" s="26" t="s">
        <v>32</v>
      </c>
    </row>
    <row r="7" spans="1:21" ht="12.75">
      <c r="A7" s="32" t="s">
        <v>132</v>
      </c>
      <c r="B7" s="32" t="s">
        <v>133</v>
      </c>
      <c r="C7" s="32" t="s">
        <v>134</v>
      </c>
      <c r="D7" s="33" t="str">
        <f>"0,5922"</f>
        <v>0,5922</v>
      </c>
      <c r="E7" s="32" t="s">
        <v>135</v>
      </c>
      <c r="F7" s="32" t="s">
        <v>136</v>
      </c>
      <c r="G7" s="35" t="s">
        <v>28</v>
      </c>
      <c r="H7" s="34" t="s">
        <v>28</v>
      </c>
      <c r="I7" s="34" t="s">
        <v>137</v>
      </c>
      <c r="J7" s="35"/>
      <c r="K7" s="34" t="s">
        <v>103</v>
      </c>
      <c r="L7" s="34" t="s">
        <v>138</v>
      </c>
      <c r="M7" s="34" t="s">
        <v>139</v>
      </c>
      <c r="N7" s="35"/>
      <c r="O7" s="34" t="s">
        <v>140</v>
      </c>
      <c r="P7" s="34" t="s">
        <v>141</v>
      </c>
      <c r="Q7" s="35" t="s">
        <v>142</v>
      </c>
      <c r="R7" s="35"/>
      <c r="S7" s="36" t="str">
        <f>"560,0"</f>
        <v>560,0</v>
      </c>
      <c r="T7" s="37" t="str">
        <f>"362,1421"</f>
        <v>362,1421</v>
      </c>
      <c r="U7" s="32" t="s">
        <v>32</v>
      </c>
    </row>
    <row r="9" ht="15">
      <c r="E9" s="16" t="s">
        <v>33</v>
      </c>
    </row>
    <row r="10" ht="15">
      <c r="E10" s="16" t="s">
        <v>34</v>
      </c>
    </row>
    <row r="11" ht="15">
      <c r="E11" s="16" t="s">
        <v>35</v>
      </c>
    </row>
    <row r="12" ht="15">
      <c r="E12" s="16" t="s">
        <v>36</v>
      </c>
    </row>
    <row r="13" ht="15">
      <c r="E13" s="16" t="s">
        <v>36</v>
      </c>
    </row>
    <row r="14" ht="15">
      <c r="E14" s="16" t="s">
        <v>37</v>
      </c>
    </row>
    <row r="15" ht="15">
      <c r="E15" s="16"/>
    </row>
    <row r="17" spans="1:2" ht="18">
      <c r="A17" s="17" t="s">
        <v>38</v>
      </c>
      <c r="B17" s="17"/>
    </row>
    <row r="18" spans="1:2" ht="15">
      <c r="A18" s="18" t="s">
        <v>39</v>
      </c>
      <c r="B18" s="18"/>
    </row>
    <row r="19" spans="1:2" ht="14.25">
      <c r="A19" s="20"/>
      <c r="B19" s="21" t="s">
        <v>40</v>
      </c>
    </row>
    <row r="20" spans="1:5" ht="15">
      <c r="A20" s="22" t="s">
        <v>41</v>
      </c>
      <c r="B20" s="22" t="s">
        <v>42</v>
      </c>
      <c r="C20" s="22" t="s">
        <v>43</v>
      </c>
      <c r="D20" s="23" t="s">
        <v>44</v>
      </c>
      <c r="E20" s="22" t="s">
        <v>45</v>
      </c>
    </row>
    <row r="21" spans="1:5" ht="12.75">
      <c r="A21" s="19" t="s">
        <v>121</v>
      </c>
      <c r="B21" s="4" t="s">
        <v>40</v>
      </c>
      <c r="C21" s="4" t="s">
        <v>143</v>
      </c>
      <c r="D21" s="24">
        <v>442.5</v>
      </c>
      <c r="E21" s="25">
        <v>265.500010550022</v>
      </c>
    </row>
    <row r="23" spans="1:2" ht="14.25">
      <c r="A23" s="20"/>
      <c r="B23" s="21" t="s">
        <v>144</v>
      </c>
    </row>
    <row r="24" spans="1:5" ht="15">
      <c r="A24" s="22" t="s">
        <v>41</v>
      </c>
      <c r="B24" s="22" t="s">
        <v>42</v>
      </c>
      <c r="C24" s="22" t="s">
        <v>43</v>
      </c>
      <c r="D24" s="23" t="s">
        <v>44</v>
      </c>
      <c r="E24" s="22" t="s">
        <v>45</v>
      </c>
    </row>
    <row r="25" spans="1:5" ht="12.75">
      <c r="A25" s="19" t="s">
        <v>131</v>
      </c>
      <c r="B25" s="4" t="s">
        <v>145</v>
      </c>
      <c r="C25" s="4" t="s">
        <v>143</v>
      </c>
      <c r="D25" s="24">
        <v>560</v>
      </c>
      <c r="E25" s="25">
        <v>362.142132511139</v>
      </c>
    </row>
  </sheetData>
  <sheetProtection/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5.625" style="4" bestFit="1" customWidth="1"/>
    <col min="4" max="4" width="9.25390625" style="5" bestFit="1" customWidth="1"/>
    <col min="5" max="5" width="22.75390625" style="4" bestFit="1" customWidth="1"/>
    <col min="6" max="6" width="32.625" style="4" bestFit="1" customWidth="1"/>
    <col min="7" max="9" width="5.625" style="3" customWidth="1"/>
    <col min="10" max="10" width="4.875" style="3" customWidth="1"/>
    <col min="11" max="11" width="4.625" style="3" customWidth="1"/>
    <col min="12" max="13" width="5.625" style="3" customWidth="1"/>
    <col min="14" max="14" width="4.875" style="3" customWidth="1"/>
    <col min="15" max="17" width="5.625" style="3" customWidth="1"/>
    <col min="18" max="18" width="4.875" style="3" customWidth="1"/>
    <col min="19" max="19" width="7.875" style="7" bestFit="1" customWidth="1"/>
    <col min="20" max="20" width="8.625" style="8" bestFit="1" customWidth="1"/>
    <col min="21" max="21" width="13.625" style="4" bestFit="1" customWidth="1"/>
    <col min="22" max="16384" width="9.125" style="3" customWidth="1"/>
  </cols>
  <sheetData>
    <row r="1" spans="1:21" s="2" customFormat="1" ht="28.5" customHeight="1">
      <c r="A1" s="61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0</v>
      </c>
      <c r="B3" s="52" t="s">
        <v>6</v>
      </c>
      <c r="C3" s="52" t="s">
        <v>10</v>
      </c>
      <c r="D3" s="54" t="s">
        <v>12</v>
      </c>
      <c r="E3" s="56" t="s">
        <v>4</v>
      </c>
      <c r="F3" s="56" t="s">
        <v>7</v>
      </c>
      <c r="G3" s="56" t="s">
        <v>13</v>
      </c>
      <c r="H3" s="56"/>
      <c r="I3" s="56"/>
      <c r="J3" s="56"/>
      <c r="K3" s="56" t="s">
        <v>14</v>
      </c>
      <c r="L3" s="56"/>
      <c r="M3" s="56"/>
      <c r="N3" s="56"/>
      <c r="O3" s="56" t="s">
        <v>15</v>
      </c>
      <c r="P3" s="56"/>
      <c r="Q3" s="56"/>
      <c r="R3" s="56"/>
      <c r="S3" s="54" t="s">
        <v>1</v>
      </c>
      <c r="T3" s="54" t="s">
        <v>3</v>
      </c>
      <c r="U3" s="57" t="s">
        <v>2</v>
      </c>
    </row>
    <row r="4" spans="1:21" s="1" customFormat="1" ht="21" customHeight="1" thickBot="1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55"/>
      <c r="T4" s="55"/>
      <c r="U4" s="58"/>
    </row>
    <row r="5" spans="1:18" ht="15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1" ht="12.75">
      <c r="A6" s="10" t="s">
        <v>50</v>
      </c>
      <c r="B6" s="10" t="s">
        <v>51</v>
      </c>
      <c r="C6" s="10" t="s">
        <v>52</v>
      </c>
      <c r="D6" s="11" t="str">
        <f>"0,9801"</f>
        <v>0,9801</v>
      </c>
      <c r="E6" s="10" t="s">
        <v>53</v>
      </c>
      <c r="F6" s="10" t="s">
        <v>54</v>
      </c>
      <c r="G6" s="12" t="s">
        <v>55</v>
      </c>
      <c r="H6" s="12" t="s">
        <v>56</v>
      </c>
      <c r="I6" s="12" t="s">
        <v>57</v>
      </c>
      <c r="J6" s="13"/>
      <c r="K6" s="12" t="s">
        <v>58</v>
      </c>
      <c r="L6" s="13" t="s">
        <v>59</v>
      </c>
      <c r="M6" s="13" t="s">
        <v>59</v>
      </c>
      <c r="N6" s="13"/>
      <c r="O6" s="12" t="s">
        <v>60</v>
      </c>
      <c r="P6" s="12" t="s">
        <v>61</v>
      </c>
      <c r="Q6" s="12" t="s">
        <v>62</v>
      </c>
      <c r="R6" s="13"/>
      <c r="S6" s="14" t="str">
        <f>"275,0"</f>
        <v>275,0</v>
      </c>
      <c r="T6" s="15" t="str">
        <f>"269,5275"</f>
        <v>269,5275</v>
      </c>
      <c r="U6" s="10" t="s">
        <v>63</v>
      </c>
    </row>
    <row r="8" spans="1:18" ht="15">
      <c r="A8" s="62" t="s">
        <v>64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21" ht="12.75">
      <c r="A9" s="26" t="s">
        <v>66</v>
      </c>
      <c r="B9" s="26" t="s">
        <v>67</v>
      </c>
      <c r="C9" s="26" t="s">
        <v>68</v>
      </c>
      <c r="D9" s="27" t="str">
        <f>"0,9201"</f>
        <v>0,9201</v>
      </c>
      <c r="E9" s="26" t="s">
        <v>69</v>
      </c>
      <c r="F9" s="26" t="s">
        <v>70</v>
      </c>
      <c r="G9" s="28" t="s">
        <v>71</v>
      </c>
      <c r="H9" s="28" t="s">
        <v>72</v>
      </c>
      <c r="I9" s="28" t="s">
        <v>73</v>
      </c>
      <c r="J9" s="29"/>
      <c r="K9" s="29" t="s">
        <v>74</v>
      </c>
      <c r="L9" s="28" t="s">
        <v>75</v>
      </c>
      <c r="M9" s="29" t="s">
        <v>76</v>
      </c>
      <c r="N9" s="29"/>
      <c r="O9" s="29" t="s">
        <v>77</v>
      </c>
      <c r="P9" s="29" t="s">
        <v>77</v>
      </c>
      <c r="Q9" s="28" t="s">
        <v>77</v>
      </c>
      <c r="R9" s="29"/>
      <c r="S9" s="30" t="str">
        <f>"225,0"</f>
        <v>225,0</v>
      </c>
      <c r="T9" s="31" t="str">
        <f>"219,4438"</f>
        <v>219,4438</v>
      </c>
      <c r="U9" s="26" t="s">
        <v>78</v>
      </c>
    </row>
    <row r="10" spans="1:21" ht="12.75">
      <c r="A10" s="32" t="s">
        <v>80</v>
      </c>
      <c r="B10" s="32" t="s">
        <v>81</v>
      </c>
      <c r="C10" s="32" t="s">
        <v>82</v>
      </c>
      <c r="D10" s="33" t="str">
        <f>"0,9355"</f>
        <v>0,9355</v>
      </c>
      <c r="E10" s="32" t="s">
        <v>69</v>
      </c>
      <c r="F10" s="32" t="s">
        <v>54</v>
      </c>
      <c r="G10" s="34" t="s">
        <v>55</v>
      </c>
      <c r="H10" s="34" t="s">
        <v>56</v>
      </c>
      <c r="I10" s="34" t="s">
        <v>57</v>
      </c>
      <c r="J10" s="35"/>
      <c r="K10" s="34" t="s">
        <v>58</v>
      </c>
      <c r="L10" s="34" t="s">
        <v>59</v>
      </c>
      <c r="M10" s="34" t="s">
        <v>83</v>
      </c>
      <c r="N10" s="35"/>
      <c r="O10" s="34" t="s">
        <v>55</v>
      </c>
      <c r="P10" s="34" t="s">
        <v>77</v>
      </c>
      <c r="Q10" s="34" t="s">
        <v>57</v>
      </c>
      <c r="R10" s="35"/>
      <c r="S10" s="36" t="str">
        <f>"252,5"</f>
        <v>252,5</v>
      </c>
      <c r="T10" s="37" t="str">
        <f>"236,2138"</f>
        <v>236,2138</v>
      </c>
      <c r="U10" s="32" t="s">
        <v>32</v>
      </c>
    </row>
    <row r="12" spans="1:18" ht="15">
      <c r="A12" s="62" t="s">
        <v>84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21" ht="12.75">
      <c r="A13" s="10" t="s">
        <v>86</v>
      </c>
      <c r="B13" s="10" t="s">
        <v>87</v>
      </c>
      <c r="C13" s="10" t="s">
        <v>88</v>
      </c>
      <c r="D13" s="11" t="str">
        <f>"0,7862"</f>
        <v>0,7862</v>
      </c>
      <c r="E13" s="10" t="s">
        <v>89</v>
      </c>
      <c r="F13" s="10" t="s">
        <v>54</v>
      </c>
      <c r="G13" s="12" t="s">
        <v>90</v>
      </c>
      <c r="H13" s="12" t="s">
        <v>91</v>
      </c>
      <c r="I13" s="13" t="s">
        <v>92</v>
      </c>
      <c r="J13" s="13"/>
      <c r="K13" s="12" t="s">
        <v>93</v>
      </c>
      <c r="L13" s="13" t="s">
        <v>94</v>
      </c>
      <c r="M13" s="13" t="s">
        <v>94</v>
      </c>
      <c r="N13" s="13"/>
      <c r="O13" s="12" t="s">
        <v>71</v>
      </c>
      <c r="P13" s="12" t="s">
        <v>95</v>
      </c>
      <c r="Q13" s="12" t="s">
        <v>56</v>
      </c>
      <c r="R13" s="13"/>
      <c r="S13" s="14" t="str">
        <f>"225,0"</f>
        <v>225,0</v>
      </c>
      <c r="T13" s="15" t="str">
        <f>"178,6639"</f>
        <v>178,6639</v>
      </c>
      <c r="U13" s="10" t="s">
        <v>96</v>
      </c>
    </row>
    <row r="15" spans="1:18" ht="15">
      <c r="A15" s="62" t="s">
        <v>84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21" ht="12.75">
      <c r="A16" s="10" t="s">
        <v>98</v>
      </c>
      <c r="B16" s="10" t="s">
        <v>99</v>
      </c>
      <c r="C16" s="10" t="s">
        <v>100</v>
      </c>
      <c r="D16" s="11" t="str">
        <f>"0,7347"</f>
        <v>0,7347</v>
      </c>
      <c r="E16" s="10" t="s">
        <v>69</v>
      </c>
      <c r="F16" s="10" t="s">
        <v>101</v>
      </c>
      <c r="G16" s="12" t="s">
        <v>102</v>
      </c>
      <c r="H16" s="12" t="s">
        <v>62</v>
      </c>
      <c r="I16" s="12" t="s">
        <v>103</v>
      </c>
      <c r="J16" s="13"/>
      <c r="K16" s="12" t="s">
        <v>104</v>
      </c>
      <c r="L16" s="13" t="s">
        <v>105</v>
      </c>
      <c r="M16" s="12" t="s">
        <v>105</v>
      </c>
      <c r="N16" s="13"/>
      <c r="O16" s="12" t="s">
        <v>106</v>
      </c>
      <c r="P16" s="12" t="s">
        <v>107</v>
      </c>
      <c r="Q16" s="12" t="s">
        <v>108</v>
      </c>
      <c r="R16" s="13"/>
      <c r="S16" s="14" t="str">
        <f>"395,0"</f>
        <v>395,0</v>
      </c>
      <c r="T16" s="15" t="str">
        <f>"327,9334"</f>
        <v>327,9334</v>
      </c>
      <c r="U16" s="10" t="s">
        <v>32</v>
      </c>
    </row>
    <row r="18" ht="15">
      <c r="E18" s="16" t="s">
        <v>33</v>
      </c>
    </row>
    <row r="19" ht="15">
      <c r="E19" s="16" t="s">
        <v>34</v>
      </c>
    </row>
    <row r="20" ht="15">
      <c r="E20" s="16" t="s">
        <v>35</v>
      </c>
    </row>
    <row r="21" ht="15">
      <c r="E21" s="16" t="s">
        <v>36</v>
      </c>
    </row>
    <row r="22" ht="15">
      <c r="E22" s="16" t="s">
        <v>36</v>
      </c>
    </row>
    <row r="23" ht="15">
      <c r="E23" s="16" t="s">
        <v>37</v>
      </c>
    </row>
    <row r="24" ht="15">
      <c r="E24" s="16"/>
    </row>
    <row r="26" spans="1:2" ht="18">
      <c r="A26" s="17" t="s">
        <v>38</v>
      </c>
      <c r="B26" s="17"/>
    </row>
    <row r="27" spans="1:2" ht="15">
      <c r="A27" s="18" t="s">
        <v>109</v>
      </c>
      <c r="B27" s="18"/>
    </row>
    <row r="28" spans="1:2" ht="14.25">
      <c r="A28" s="20"/>
      <c r="B28" s="21" t="s">
        <v>110</v>
      </c>
    </row>
    <row r="29" spans="1:5" ht="15">
      <c r="A29" s="22" t="s">
        <v>41</v>
      </c>
      <c r="B29" s="22" t="s">
        <v>42</v>
      </c>
      <c r="C29" s="22" t="s">
        <v>43</v>
      </c>
      <c r="D29" s="23" t="s">
        <v>44</v>
      </c>
      <c r="E29" s="22" t="s">
        <v>45</v>
      </c>
    </row>
    <row r="30" spans="1:5" ht="12.75">
      <c r="A30" s="19" t="s">
        <v>65</v>
      </c>
      <c r="B30" s="4" t="s">
        <v>111</v>
      </c>
      <c r="C30" s="4" t="s">
        <v>112</v>
      </c>
      <c r="D30" s="24">
        <v>225</v>
      </c>
      <c r="E30" s="25">
        <v>219.443843722343</v>
      </c>
    </row>
    <row r="32" spans="1:2" ht="14.25">
      <c r="A32" s="20"/>
      <c r="B32" s="21" t="s">
        <v>113</v>
      </c>
    </row>
    <row r="33" spans="1:5" ht="15">
      <c r="A33" s="22" t="s">
        <v>41</v>
      </c>
      <c r="B33" s="22" t="s">
        <v>42</v>
      </c>
      <c r="C33" s="22" t="s">
        <v>43</v>
      </c>
      <c r="D33" s="23" t="s">
        <v>44</v>
      </c>
      <c r="E33" s="22" t="s">
        <v>45</v>
      </c>
    </row>
    <row r="34" spans="1:5" ht="12.75">
      <c r="A34" s="19" t="s">
        <v>85</v>
      </c>
      <c r="B34" s="4" t="s">
        <v>114</v>
      </c>
      <c r="C34" s="4" t="s">
        <v>115</v>
      </c>
      <c r="D34" s="24">
        <v>225</v>
      </c>
      <c r="E34" s="25">
        <v>178.663947030902</v>
      </c>
    </row>
    <row r="36" spans="1:2" ht="14.25">
      <c r="A36" s="20"/>
      <c r="B36" s="21" t="s">
        <v>40</v>
      </c>
    </row>
    <row r="37" spans="1:5" ht="15">
      <c r="A37" s="22" t="s">
        <v>41</v>
      </c>
      <c r="B37" s="22" t="s">
        <v>42</v>
      </c>
      <c r="C37" s="22" t="s">
        <v>43</v>
      </c>
      <c r="D37" s="23" t="s">
        <v>44</v>
      </c>
      <c r="E37" s="22" t="s">
        <v>45</v>
      </c>
    </row>
    <row r="38" spans="1:5" ht="12.75">
      <c r="A38" s="19" t="s">
        <v>49</v>
      </c>
      <c r="B38" s="4" t="s">
        <v>40</v>
      </c>
      <c r="C38" s="4" t="s">
        <v>116</v>
      </c>
      <c r="D38" s="24">
        <v>275</v>
      </c>
      <c r="E38" s="25">
        <v>269.527493417263</v>
      </c>
    </row>
    <row r="39" spans="1:5" ht="12.75">
      <c r="A39" s="19" t="s">
        <v>79</v>
      </c>
      <c r="B39" s="4" t="s">
        <v>40</v>
      </c>
      <c r="C39" s="4" t="s">
        <v>112</v>
      </c>
      <c r="D39" s="24">
        <v>252.5</v>
      </c>
      <c r="E39" s="25">
        <v>236.213756501675</v>
      </c>
    </row>
    <row r="42" spans="1:2" ht="15">
      <c r="A42" s="18" t="s">
        <v>39</v>
      </c>
      <c r="B42" s="18"/>
    </row>
    <row r="43" spans="1:2" ht="14.25">
      <c r="A43" s="20"/>
      <c r="B43" s="21" t="s">
        <v>117</v>
      </c>
    </row>
    <row r="44" spans="1:5" ht="15">
      <c r="A44" s="22" t="s">
        <v>41</v>
      </c>
      <c r="B44" s="22" t="s">
        <v>42</v>
      </c>
      <c r="C44" s="22" t="s">
        <v>43</v>
      </c>
      <c r="D44" s="23" t="s">
        <v>44</v>
      </c>
      <c r="E44" s="22" t="s">
        <v>45</v>
      </c>
    </row>
    <row r="45" spans="1:5" ht="12.75">
      <c r="A45" s="19" t="s">
        <v>97</v>
      </c>
      <c r="B45" s="4" t="s">
        <v>118</v>
      </c>
      <c r="C45" s="4" t="s">
        <v>115</v>
      </c>
      <c r="D45" s="24">
        <v>395</v>
      </c>
      <c r="E45" s="25">
        <v>327.933355769515</v>
      </c>
    </row>
  </sheetData>
  <sheetProtection/>
  <mergeCells count="17">
    <mergeCell ref="A8:R8"/>
    <mergeCell ref="A12:R12"/>
    <mergeCell ref="A15:R15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Пользователь</cp:lastModifiedBy>
  <cp:lastPrinted>2022-07-24T11:43:11Z</cp:lastPrinted>
  <dcterms:created xsi:type="dcterms:W3CDTF">2002-06-16T13:36:44Z</dcterms:created>
  <dcterms:modified xsi:type="dcterms:W3CDTF">2022-08-10T02:50:54Z</dcterms:modified>
  <cp:category/>
  <cp:version/>
  <cp:contentType/>
  <cp:contentStatus/>
</cp:coreProperties>
</file>